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willmore\Desktop\"/>
    </mc:Choice>
  </mc:AlternateContent>
  <bookViews>
    <workbookView xWindow="0" yWindow="0" windowWidth="10170" windowHeight="7680"/>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6" i="1" l="1"/>
  <c r="C723" i="1"/>
  <c r="C721" i="1"/>
  <c r="C715" i="1"/>
  <c r="C714" i="1"/>
  <c r="C713" i="1"/>
  <c r="C712" i="1"/>
  <c r="C711" i="1"/>
  <c r="C710" i="1"/>
  <c r="C709" i="1"/>
  <c r="C708" i="1"/>
  <c r="C707" i="1"/>
  <c r="C706" i="1"/>
  <c r="C705" i="1"/>
  <c r="C704" i="1"/>
  <c r="C703" i="1"/>
  <c r="C702" i="1"/>
  <c r="C701" i="1"/>
  <c r="C698" i="1"/>
  <c r="C696" i="1"/>
  <c r="C690" i="1"/>
  <c r="C689" i="1"/>
  <c r="C688" i="1"/>
  <c r="C687" i="1"/>
  <c r="C686" i="1"/>
  <c r="C683" i="1"/>
  <c r="C681" i="1"/>
  <c r="C675" i="1"/>
  <c r="C672" i="1"/>
  <c r="C670" i="1"/>
  <c r="C664" i="1"/>
  <c r="C661" i="1"/>
  <c r="C659" i="1"/>
  <c r="C653" i="1"/>
  <c r="C652" i="1"/>
  <c r="C649" i="1"/>
  <c r="C647" i="1"/>
  <c r="C641" i="1"/>
  <c r="C640" i="1"/>
  <c r="C639" i="1"/>
  <c r="C638" i="1"/>
  <c r="C637" i="1"/>
  <c r="C634" i="1"/>
  <c r="C632" i="1"/>
  <c r="C626" i="1"/>
  <c r="C625" i="1"/>
  <c r="C622" i="1"/>
  <c r="C620" i="1"/>
  <c r="C614" i="1"/>
  <c r="C613" i="1"/>
  <c r="C612" i="1"/>
  <c r="C609" i="1"/>
  <c r="C607" i="1"/>
  <c r="C601" i="1"/>
  <c r="C600" i="1"/>
  <c r="C599" i="1"/>
  <c r="C598" i="1"/>
  <c r="C597" i="1"/>
  <c r="C596" i="1"/>
  <c r="C593" i="1"/>
  <c r="C591" i="1"/>
  <c r="C585" i="1"/>
  <c r="C584" i="1"/>
  <c r="C583" i="1"/>
  <c r="C582" i="1"/>
  <c r="C579" i="1"/>
  <c r="C577" i="1"/>
  <c r="C571" i="1"/>
  <c r="C570" i="1"/>
  <c r="C569" i="1"/>
  <c r="C568" i="1"/>
  <c r="C565" i="1"/>
  <c r="C563" i="1"/>
  <c r="C557" i="1"/>
  <c r="C556" i="1"/>
  <c r="C553" i="1"/>
  <c r="C551" i="1"/>
  <c r="C545" i="1"/>
  <c r="C544" i="1"/>
  <c r="C543" i="1"/>
  <c r="C542" i="1"/>
  <c r="C541" i="1"/>
  <c r="C540" i="1"/>
  <c r="C539" i="1"/>
  <c r="C538" i="1"/>
  <c r="C535" i="1"/>
  <c r="C533" i="1"/>
  <c r="C527" i="1"/>
  <c r="C526" i="1"/>
  <c r="C525" i="1"/>
  <c r="C524" i="1"/>
  <c r="C523" i="1"/>
  <c r="C522" i="1"/>
  <c r="C521" i="1"/>
  <c r="C520" i="1"/>
  <c r="C517" i="1"/>
  <c r="C515" i="1"/>
  <c r="C509" i="1"/>
  <c r="C508" i="1"/>
  <c r="C507" i="1"/>
  <c r="C506" i="1"/>
  <c r="C505" i="1"/>
  <c r="C504" i="1"/>
  <c r="C503" i="1"/>
  <c r="C502" i="1"/>
  <c r="C501" i="1"/>
  <c r="C500" i="1"/>
  <c r="C499" i="1"/>
  <c r="C498" i="1"/>
  <c r="C497" i="1"/>
  <c r="C496" i="1"/>
  <c r="C493" i="1"/>
  <c r="C491" i="1"/>
  <c r="C485" i="1"/>
  <c r="C484" i="1"/>
  <c r="C483" i="1"/>
  <c r="C482" i="1"/>
  <c r="C481" i="1"/>
  <c r="C480" i="1"/>
  <c r="C479" i="1"/>
  <c r="C478" i="1"/>
  <c r="C477" i="1"/>
  <c r="C476" i="1"/>
  <c r="C475" i="1"/>
  <c r="C474" i="1"/>
  <c r="C473" i="1"/>
  <c r="C472" i="1"/>
  <c r="C471" i="1"/>
  <c r="C470" i="1"/>
  <c r="C469" i="1"/>
  <c r="C468" i="1"/>
  <c r="C467" i="1"/>
  <c r="C466" i="1"/>
  <c r="C465" i="1"/>
  <c r="C464" i="1"/>
  <c r="C463" i="1"/>
  <c r="C460" i="1"/>
  <c r="C458" i="1"/>
  <c r="C452" i="1"/>
  <c r="C451" i="1"/>
  <c r="C450" i="1"/>
  <c r="C449" i="1"/>
  <c r="C448" i="1"/>
  <c r="C447" i="1"/>
  <c r="C446" i="1"/>
  <c r="C445" i="1"/>
  <c r="C444" i="1"/>
  <c r="C443" i="1"/>
  <c r="C442" i="1"/>
  <c r="C441" i="1"/>
  <c r="C440" i="1"/>
  <c r="C439" i="1"/>
  <c r="C438" i="1"/>
  <c r="C435" i="1"/>
  <c r="C433" i="1"/>
  <c r="C427" i="1"/>
  <c r="C426" i="1"/>
  <c r="C425" i="1"/>
  <c r="C422" i="1"/>
  <c r="C420" i="1"/>
  <c r="C414" i="1"/>
  <c r="C413" i="1"/>
  <c r="C412" i="1"/>
  <c r="C411" i="1"/>
  <c r="C410" i="1"/>
  <c r="C409" i="1"/>
  <c r="C408" i="1"/>
  <c r="C407" i="1"/>
  <c r="C406" i="1"/>
  <c r="C405" i="1"/>
  <c r="C404" i="1"/>
  <c r="C403" i="1"/>
  <c r="C400" i="1"/>
  <c r="C398" i="1"/>
  <c r="C392" i="1"/>
  <c r="C391" i="1"/>
  <c r="C388" i="1"/>
  <c r="C386" i="1"/>
  <c r="C380" i="1"/>
  <c r="C379" i="1"/>
  <c r="C376" i="1"/>
  <c r="C374"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18" i="1"/>
  <c r="C316" i="1"/>
  <c r="C310" i="1"/>
  <c r="C309" i="1"/>
  <c r="C308" i="1"/>
  <c r="C307" i="1"/>
  <c r="C306" i="1"/>
  <c r="C305" i="1"/>
  <c r="C304" i="1"/>
  <c r="C303" i="1"/>
  <c r="C302" i="1"/>
  <c r="C299" i="1"/>
  <c r="C297" i="1"/>
  <c r="C291" i="1"/>
  <c r="C290" i="1"/>
  <c r="C287" i="1"/>
  <c r="C285" i="1"/>
  <c r="C279" i="1"/>
  <c r="C278" i="1"/>
  <c r="C275" i="1"/>
  <c r="C273" i="1"/>
  <c r="C267" i="1"/>
  <c r="C266" i="1"/>
  <c r="C265" i="1"/>
  <c r="C264" i="1"/>
  <c r="C261" i="1"/>
  <c r="C259" i="1"/>
  <c r="C253" i="1"/>
  <c r="C252" i="1"/>
  <c r="C249" i="1"/>
  <c r="C247" i="1"/>
  <c r="C241" i="1"/>
  <c r="C238" i="1"/>
  <c r="C236" i="1"/>
  <c r="C230" i="1"/>
  <c r="C227" i="1"/>
  <c r="C225" i="1"/>
  <c r="C219" i="1"/>
  <c r="C216" i="1"/>
  <c r="C214" i="1"/>
  <c r="C208" i="1"/>
  <c r="C205" i="1"/>
  <c r="C203" i="1"/>
  <c r="C197" i="1"/>
  <c r="C194" i="1"/>
  <c r="C192" i="1"/>
  <c r="C186" i="1"/>
  <c r="C183" i="1"/>
  <c r="C181" i="1"/>
  <c r="C175" i="1"/>
  <c r="C174" i="1"/>
  <c r="C173" i="1"/>
  <c r="C172" i="1"/>
  <c r="C171" i="1"/>
  <c r="C168" i="1"/>
  <c r="C166" i="1"/>
  <c r="C160" i="1"/>
  <c r="C157" i="1"/>
  <c r="C155" i="1"/>
  <c r="C149" i="1"/>
  <c r="C146" i="1"/>
  <c r="C144" i="1"/>
  <c r="C138" i="1"/>
  <c r="C135" i="1"/>
  <c r="C133" i="1"/>
  <c r="C127" i="1"/>
  <c r="C124" i="1"/>
  <c r="C122" i="1"/>
  <c r="C116" i="1"/>
  <c r="C113" i="1"/>
  <c r="C111" i="1"/>
  <c r="C105" i="1"/>
  <c r="C104" i="1"/>
  <c r="C103" i="1"/>
  <c r="C102" i="1"/>
  <c r="C101" i="1"/>
  <c r="C100" i="1"/>
  <c r="C99" i="1"/>
  <c r="C98" i="1"/>
  <c r="C97" i="1"/>
  <c r="C96" i="1"/>
  <c r="C95" i="1"/>
  <c r="C94" i="1"/>
  <c r="C93" i="1"/>
  <c r="C92" i="1"/>
  <c r="C91" i="1"/>
  <c r="C90" i="1"/>
  <c r="C87" i="1"/>
  <c r="C85" i="1"/>
  <c r="C79" i="1"/>
  <c r="C76" i="1"/>
  <c r="C74" i="1"/>
  <c r="C68" i="1"/>
  <c r="C65" i="1"/>
  <c r="C63" i="1"/>
  <c r="C57" i="1"/>
  <c r="C54" i="1"/>
  <c r="C52" i="1"/>
  <c r="C46" i="1"/>
  <c r="C45" i="1"/>
  <c r="C44" i="1"/>
  <c r="C43" i="1"/>
  <c r="C40" i="1"/>
  <c r="C38" i="1"/>
  <c r="C32" i="1"/>
  <c r="C31" i="1"/>
  <c r="C30" i="1"/>
  <c r="C29" i="1"/>
  <c r="C28" i="1"/>
  <c r="C27" i="1"/>
  <c r="C26" i="1"/>
  <c r="C25" i="1"/>
  <c r="C24" i="1"/>
  <c r="C23" i="1"/>
  <c r="C20" i="1"/>
  <c r="C18" i="1"/>
  <c r="B3" i="1"/>
  <c r="B710" i="1"/>
  <c r="F652" i="1"/>
  <c r="B479" i="1"/>
  <c r="F355" i="1"/>
  <c r="F175" i="1"/>
  <c r="F471" i="1"/>
  <c r="B664" i="1"/>
  <c r="F478" i="1"/>
  <c r="F352" i="1"/>
  <c r="F68" i="1"/>
  <c r="F95" i="1"/>
  <c r="F542" i="1"/>
  <c r="F442" i="1"/>
  <c r="F333" i="1"/>
  <c r="F99" i="1"/>
  <c r="F523" i="1"/>
  <c r="F414" i="1"/>
  <c r="B321" i="1"/>
  <c r="B43" i="1"/>
  <c r="F726" i="1"/>
  <c r="B543" i="1"/>
  <c r="B409" i="1"/>
  <c r="F303" i="1"/>
  <c r="B469" i="1"/>
  <c r="F637" i="1"/>
  <c r="B481" i="1"/>
  <c r="B363" i="1"/>
  <c r="B219" i="1"/>
  <c r="B410" i="1"/>
  <c r="B614" i="1"/>
  <c r="B470" i="1"/>
  <c r="B344" i="1"/>
  <c r="F79" i="1"/>
  <c r="B568" i="1"/>
  <c r="F444" i="1"/>
  <c r="B333" i="1"/>
  <c r="B116" i="1"/>
  <c r="F304" i="1"/>
  <c r="B582" i="1"/>
  <c r="F449" i="1"/>
  <c r="F332" i="1"/>
  <c r="F46" i="1"/>
  <c r="F43" i="1"/>
  <c r="F526" i="1"/>
  <c r="B702" i="1"/>
  <c r="B496" i="1"/>
  <c r="F363" i="1"/>
  <c r="F219" i="1"/>
  <c r="F641" i="1"/>
  <c r="B690" i="1"/>
  <c r="B501" i="1"/>
  <c r="F360" i="1"/>
  <c r="F94" i="1"/>
  <c r="F252" i="1"/>
  <c r="F568" i="1"/>
  <c r="F450" i="1"/>
  <c r="F341" i="1"/>
  <c r="F116" i="1"/>
  <c r="B197" i="1"/>
  <c r="F556" i="1"/>
  <c r="F413" i="1"/>
  <c r="F322" i="1"/>
  <c r="B30" i="1"/>
  <c r="B508" i="1"/>
  <c r="B408" i="1"/>
  <c r="F302" i="1"/>
  <c r="F32" i="1"/>
  <c r="F713" i="1"/>
  <c r="B522" i="1"/>
  <c r="F407" i="1"/>
  <c r="B305" i="1"/>
  <c r="B639" i="1"/>
  <c r="F690" i="1"/>
  <c r="B499" i="1"/>
  <c r="B364" i="1"/>
  <c r="F100" i="1"/>
  <c r="F687" i="1"/>
  <c r="B570" i="1"/>
  <c r="B92" i="1"/>
  <c r="B339" i="1"/>
  <c r="F625" i="1"/>
  <c r="F346" i="1"/>
  <c r="F570" i="1"/>
  <c r="F335" i="1"/>
  <c r="B335" i="1"/>
  <c r="B464" i="1"/>
  <c r="B79" i="1"/>
  <c r="B541" i="1"/>
  <c r="F342" i="1"/>
  <c r="B290" i="1"/>
  <c r="F172" i="1"/>
  <c r="B411" i="1"/>
  <c r="B359" i="1"/>
  <c r="F484" i="1"/>
  <c r="B345" i="1"/>
  <c r="B468" i="1"/>
  <c r="B523" i="1"/>
  <c r="B343" i="1"/>
  <c r="F447" i="1"/>
  <c r="F44" i="1"/>
  <c r="F427" i="1"/>
  <c r="B99" i="1"/>
  <c r="F541" i="1"/>
  <c r="F324" i="1"/>
  <c r="B713" i="1"/>
  <c r="F426" i="1"/>
  <c r="B98" i="1"/>
  <c r="B29" i="1"/>
  <c r="B545" i="1"/>
  <c r="F24" i="1"/>
  <c r="B688" i="1"/>
  <c r="F440" i="1"/>
  <c r="B569" i="1"/>
  <c r="B687" i="1"/>
  <c r="B613" i="1"/>
  <c r="B503" i="1"/>
  <c r="B172" i="1"/>
  <c r="B475" i="1"/>
  <c r="F197" i="1"/>
  <c r="F653" i="1"/>
  <c r="B354" i="1"/>
  <c r="B351" i="1"/>
  <c r="B407" i="1"/>
  <c r="B26" i="1"/>
  <c r="F103" i="1"/>
  <c r="F502" i="1"/>
  <c r="F466" i="1"/>
  <c r="F443" i="1"/>
  <c r="B598" i="1"/>
  <c r="B463" i="1"/>
  <c r="F339" i="1"/>
  <c r="F105" i="1"/>
  <c r="B327" i="1"/>
  <c r="B612" i="1"/>
  <c r="B451" i="1"/>
  <c r="F336" i="1"/>
  <c r="F91" i="1"/>
  <c r="F706" i="1"/>
  <c r="F508" i="1"/>
  <c r="F408" i="1"/>
  <c r="F308" i="1"/>
  <c r="F704" i="1"/>
  <c r="F498" i="1"/>
  <c r="F380" i="1"/>
  <c r="B252" i="1"/>
  <c r="B28" i="1"/>
  <c r="F701" i="1"/>
  <c r="F503" i="1"/>
  <c r="B366" i="1"/>
  <c r="B100" i="1"/>
  <c r="B310" i="1"/>
  <c r="B583" i="1"/>
  <c r="B465" i="1"/>
  <c r="B347" i="1"/>
  <c r="B149" i="1"/>
  <c r="F278" i="1"/>
  <c r="B571" i="1"/>
  <c r="F439" i="1"/>
  <c r="B328" i="1"/>
  <c r="B25" i="1"/>
  <c r="B525" i="1"/>
  <c r="F410" i="1"/>
  <c r="B308" i="1"/>
  <c r="B91" i="1"/>
  <c r="F26" i="1"/>
  <c r="F524" i="1"/>
  <c r="B413" i="1"/>
  <c r="F307" i="1"/>
  <c r="F702" i="1"/>
  <c r="B705" i="1"/>
  <c r="F501" i="1"/>
  <c r="F626" i="1"/>
  <c r="B471" i="1"/>
  <c r="F347" i="1"/>
  <c r="F149" i="1"/>
  <c r="B367" i="1"/>
  <c r="B638" i="1"/>
  <c r="F470" i="1"/>
  <c r="F344" i="1"/>
  <c r="B31" i="1"/>
  <c r="F714" i="1"/>
  <c r="F525" i="1"/>
  <c r="F425" i="1"/>
  <c r="F325" i="1"/>
  <c r="B45" i="1"/>
  <c r="B709" i="1"/>
  <c r="B520" i="1"/>
  <c r="F379" i="1"/>
  <c r="F253" i="1"/>
  <c r="B689" i="1"/>
  <c r="B483" i="1"/>
  <c r="F359" i="1"/>
  <c r="F241" i="1"/>
  <c r="F521" i="1"/>
  <c r="F688" i="1"/>
  <c r="B497" i="1"/>
  <c r="B362" i="1"/>
  <c r="B253" i="1"/>
  <c r="F438" i="1"/>
  <c r="F638" i="1"/>
  <c r="B474" i="1"/>
  <c r="B348" i="1"/>
  <c r="F57" i="1"/>
  <c r="F481" i="1"/>
  <c r="F675" i="1"/>
  <c r="F138" i="1"/>
  <c r="B105" i="1"/>
  <c r="F539" i="1"/>
  <c r="B303" i="1"/>
  <c r="B500" i="1"/>
  <c r="F267" i="1"/>
  <c r="F705" i="1"/>
  <c r="B379" i="1"/>
  <c r="B485" i="1"/>
  <c r="B482" i="1"/>
  <c r="B324" i="1"/>
  <c r="F506" i="1"/>
  <c r="B600" i="1"/>
  <c r="B714" i="1"/>
  <c r="F507" i="1"/>
  <c r="F326" i="1"/>
  <c r="B138" i="1"/>
  <c r="B342" i="1"/>
  <c r="B414" i="1"/>
  <c r="F703" i="1"/>
  <c r="B368" i="1"/>
  <c r="F639" i="1"/>
  <c r="B357" i="1"/>
  <c r="F496" i="1"/>
  <c r="F482" i="1"/>
  <c r="B174" i="1"/>
  <c r="F612" i="1"/>
  <c r="F358" i="1"/>
  <c r="F31" i="1"/>
  <c r="B304" i="1"/>
  <c r="B352" i="1"/>
  <c r="B599" i="1"/>
  <c r="F392" i="1"/>
  <c r="B329" i="1"/>
  <c r="B426" i="1"/>
  <c r="B498" i="1"/>
  <c r="F321" i="1"/>
  <c r="B445" i="1"/>
  <c r="F27" i="1"/>
  <c r="B425" i="1"/>
  <c r="F93" i="1"/>
  <c r="B539" i="1"/>
  <c r="B322" i="1"/>
  <c r="F707" i="1"/>
  <c r="F334" i="1"/>
  <c r="B392" i="1"/>
  <c r="B478" i="1"/>
  <c r="B391" i="1"/>
  <c r="F290" i="1"/>
  <c r="F350" i="1"/>
  <c r="B538" i="1"/>
  <c r="B438" i="1"/>
  <c r="F323" i="1"/>
  <c r="F45" i="1"/>
  <c r="B24" i="1"/>
  <c r="F545" i="1"/>
  <c r="F411" i="1"/>
  <c r="B309" i="1"/>
  <c r="B502" i="1"/>
  <c r="B652" i="1"/>
  <c r="F483" i="1"/>
  <c r="F365" i="1"/>
  <c r="F230" i="1"/>
  <c r="B641" i="1"/>
  <c r="F473" i="1"/>
  <c r="B353" i="1"/>
  <c r="B173" i="1"/>
  <c r="B444" i="1"/>
  <c r="F640" i="1"/>
  <c r="B476" i="1"/>
  <c r="B350" i="1"/>
  <c r="B57" i="1"/>
  <c r="B32" i="1"/>
  <c r="B540" i="1"/>
  <c r="B440" i="1"/>
  <c r="B331" i="1"/>
  <c r="B97" i="1"/>
  <c r="F711" i="1"/>
  <c r="F522" i="1"/>
  <c r="B403" i="1"/>
  <c r="F279" i="1"/>
  <c r="B706" i="1"/>
  <c r="F485" i="1"/>
  <c r="B365" i="1"/>
  <c r="B265" i="1"/>
  <c r="B596" i="1"/>
  <c r="B703" i="1"/>
  <c r="F499" i="1"/>
  <c r="F364" i="1"/>
  <c r="F264" i="1"/>
  <c r="F463" i="1"/>
  <c r="B653" i="1"/>
  <c r="F476" i="1"/>
  <c r="F557" i="1"/>
  <c r="B446" i="1"/>
  <c r="F331" i="1"/>
  <c r="F97" i="1"/>
  <c r="B171" i="1"/>
  <c r="F571" i="1"/>
  <c r="B443" i="1"/>
  <c r="F328" i="1"/>
  <c r="F598" i="1"/>
  <c r="F689" i="1"/>
  <c r="F500" i="1"/>
  <c r="F391" i="1"/>
  <c r="F291" i="1"/>
  <c r="F504" i="1"/>
  <c r="B675" i="1"/>
  <c r="F480" i="1"/>
  <c r="F354" i="1"/>
  <c r="B102" i="1"/>
  <c r="F596" i="1"/>
  <c r="B467" i="1"/>
  <c r="F343" i="1"/>
  <c r="F171" i="1"/>
  <c r="F412" i="1"/>
  <c r="F601" i="1"/>
  <c r="B472" i="1"/>
  <c r="B346" i="1"/>
  <c r="B96" i="1"/>
  <c r="B302" i="1"/>
  <c r="F569" i="1"/>
  <c r="B449" i="1"/>
  <c r="B332" i="1"/>
  <c r="F23" i="1"/>
  <c r="B361" i="1"/>
  <c r="B484" i="1"/>
  <c r="B557" i="1"/>
  <c r="B452" i="1"/>
  <c r="F472" i="1"/>
  <c r="B94" i="1"/>
  <c r="B450" i="1"/>
  <c r="F127" i="1"/>
  <c r="F584" i="1"/>
  <c r="B338" i="1"/>
  <c r="B127" i="1"/>
  <c r="B441" i="1"/>
  <c r="B264" i="1"/>
  <c r="F709" i="1"/>
  <c r="B175" i="1"/>
  <c r="F452" i="1"/>
  <c r="B405" i="1"/>
  <c r="F600" i="1"/>
  <c r="F345" i="1"/>
  <c r="F25" i="1"/>
  <c r="B323" i="1"/>
  <c r="B597" i="1"/>
  <c r="B336" i="1"/>
  <c r="B542" i="1"/>
  <c r="B325" i="1"/>
  <c r="F173" i="1"/>
  <c r="F441" i="1"/>
  <c r="F29" i="1"/>
  <c r="F509" i="1"/>
  <c r="B340" i="1"/>
  <c r="B466" i="1"/>
  <c r="B473" i="1"/>
  <c r="B585" i="1"/>
  <c r="F340" i="1"/>
  <c r="F266" i="1"/>
  <c r="B95" i="1"/>
  <c r="B326" i="1"/>
  <c r="B380" i="1"/>
  <c r="B701" i="1"/>
  <c r="F362" i="1"/>
  <c r="B637" i="1"/>
  <c r="F351" i="1"/>
  <c r="B477" i="1"/>
  <c r="B480" i="1"/>
  <c r="B104" i="1"/>
  <c r="B601" i="1"/>
  <c r="B504" i="1"/>
  <c r="B707" i="1"/>
  <c r="F337" i="1"/>
  <c r="F160" i="1"/>
  <c r="B103" i="1"/>
  <c r="B334" i="1"/>
  <c r="B406" i="1"/>
  <c r="F497" i="1"/>
  <c r="F469" i="1"/>
  <c r="B625" i="1"/>
  <c r="F329" i="1"/>
  <c r="B412" i="1"/>
  <c r="B526" i="1"/>
  <c r="B626" i="1"/>
  <c r="F361" i="1"/>
  <c r="B68" i="1"/>
  <c r="F101" i="1"/>
  <c r="B330" i="1"/>
  <c r="F409" i="1"/>
  <c r="B358" i="1"/>
  <c r="F708" i="1"/>
  <c r="B279" i="1"/>
  <c r="F520" i="1"/>
  <c r="F465" i="1"/>
  <c r="F505" i="1"/>
  <c r="B686" i="1"/>
  <c r="F309" i="1"/>
  <c r="F90" i="1"/>
  <c r="F265" i="1"/>
  <c r="F310" i="1"/>
  <c r="B507" i="1"/>
  <c r="B355" i="1"/>
  <c r="B711" i="1"/>
  <c r="F305" i="1"/>
  <c r="B337" i="1"/>
  <c r="F613" i="1"/>
  <c r="F98" i="1"/>
  <c r="B427" i="1"/>
  <c r="F327" i="1"/>
  <c r="B208" i="1"/>
  <c r="B46" i="1"/>
  <c r="B708" i="1"/>
  <c r="F538" i="1"/>
  <c r="B27" i="1"/>
  <c r="B404" i="1"/>
  <c r="B509" i="1"/>
  <c r="F585" i="1"/>
  <c r="F583" i="1"/>
  <c r="B241" i="1"/>
  <c r="F30" i="1"/>
  <c r="B306" i="1"/>
  <c r="B360" i="1"/>
  <c r="B349" i="1"/>
  <c r="F474" i="1"/>
  <c r="B584" i="1"/>
  <c r="F306" i="1"/>
  <c r="F403" i="1"/>
  <c r="F475" i="1"/>
  <c r="F599" i="1"/>
  <c r="F544" i="1"/>
  <c r="B267" i="1"/>
  <c r="B44" i="1"/>
  <c r="B307" i="1"/>
  <c r="B448" i="1"/>
  <c r="F367" i="1"/>
  <c r="F664" i="1"/>
  <c r="B640" i="1"/>
  <c r="F614" i="1"/>
  <c r="F174" i="1"/>
  <c r="F356" i="1"/>
  <c r="B356" i="1"/>
  <c r="F540" i="1"/>
  <c r="F582" i="1"/>
  <c r="B101" i="1"/>
  <c r="F92" i="1"/>
  <c r="F208" i="1"/>
  <c r="B506" i="1"/>
  <c r="B521" i="1"/>
  <c r="F186" i="1"/>
  <c r="B447" i="1"/>
  <c r="F405" i="1"/>
  <c r="B527" i="1"/>
  <c r="F468" i="1"/>
  <c r="B341" i="1"/>
  <c r="B160" i="1"/>
  <c r="B278" i="1"/>
  <c r="F368" i="1"/>
  <c r="F467" i="1"/>
  <c r="F448" i="1"/>
  <c r="F597" i="1"/>
  <c r="B704" i="1"/>
  <c r="B544" i="1"/>
  <c r="F104" i="1"/>
  <c r="B186" i="1"/>
  <c r="F348" i="1"/>
  <c r="F451" i="1"/>
  <c r="F28" i="1"/>
  <c r="B266" i="1"/>
  <c r="F357" i="1"/>
  <c r="F464" i="1"/>
  <c r="B442" i="1"/>
  <c r="B556" i="1"/>
  <c r="F715" i="1"/>
  <c r="F712" i="1"/>
  <c r="B726" i="1"/>
  <c r="F710" i="1"/>
  <c r="F366" i="1"/>
  <c r="B291" i="1"/>
  <c r="B712" i="1"/>
  <c r="F477" i="1"/>
  <c r="F404" i="1"/>
  <c r="F479" i="1"/>
  <c r="B93" i="1"/>
  <c r="F330" i="1"/>
  <c r="B439" i="1"/>
  <c r="F406" i="1"/>
  <c r="F96" i="1"/>
  <c r="F543" i="1"/>
  <c r="B23" i="1"/>
  <c r="F102" i="1"/>
  <c r="F349" i="1"/>
  <c r="F445" i="1"/>
  <c r="F686" i="1"/>
  <c r="F446" i="1"/>
  <c r="B715" i="1"/>
  <c r="F338" i="1"/>
  <c r="B524" i="1"/>
  <c r="B505" i="1"/>
  <c r="B230" i="1"/>
  <c r="F527" i="1"/>
  <c r="F353" i="1"/>
  <c r="B90" i="1"/>
  <c r="F691" i="1" l="1"/>
  <c r="F187" i="1"/>
  <c r="F209" i="1"/>
  <c r="F586" i="1"/>
  <c r="F665" i="1"/>
  <c r="F415" i="1"/>
  <c r="F546" i="1"/>
  <c r="F106" i="1"/>
  <c r="F528" i="1"/>
  <c r="F161" i="1"/>
  <c r="F128" i="1"/>
  <c r="F33" i="1"/>
  <c r="F176" i="1"/>
  <c r="F602" i="1"/>
  <c r="F393" i="1"/>
  <c r="F486" i="1"/>
  <c r="F268" i="1"/>
  <c r="F231" i="1"/>
  <c r="F292" i="1"/>
  <c r="F369" i="1"/>
  <c r="F615" i="1"/>
  <c r="F510" i="1"/>
  <c r="F139" i="1"/>
  <c r="F676" i="1"/>
  <c r="F58" i="1"/>
  <c r="F453" i="1"/>
  <c r="F242" i="1"/>
  <c r="F381" i="1"/>
  <c r="F428" i="1"/>
  <c r="F150" i="1"/>
  <c r="F280" i="1"/>
  <c r="F716" i="1"/>
  <c r="F198" i="1"/>
  <c r="F627" i="1"/>
  <c r="F311" i="1"/>
  <c r="F558" i="1"/>
  <c r="F117" i="1"/>
  <c r="F572" i="1"/>
  <c r="F254" i="1"/>
  <c r="F220" i="1"/>
  <c r="F47" i="1"/>
  <c r="F80" i="1"/>
  <c r="F642" i="1"/>
  <c r="F727" i="1"/>
  <c r="F69" i="1"/>
  <c r="F654" i="1"/>
  <c r="B9" i="1" l="1"/>
  <c r="B10"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6" authorId="1" shapeId="0">
      <text>
        <r>
          <rPr>
            <sz val="11"/>
            <color theme="1"/>
            <rFont val="Calibri"/>
            <family val="2"/>
            <scheme val="minor"/>
          </rPr>
          <t>Introducir un texto con el nombre o referencia de la contratación</t>
        </r>
      </text>
    </comment>
    <comment ref="B36" authorId="1" shapeId="0">
      <text>
        <r>
          <rPr>
            <sz val="11"/>
            <color theme="1"/>
            <rFont val="Calibri"/>
            <family val="2"/>
            <scheme val="minor"/>
          </rPr>
          <t>Introduzca un texto con la finalidad de la contratación</t>
        </r>
      </text>
    </comment>
    <comment ref="C36" authorId="1" shapeId="0">
      <text>
        <r>
          <rPr>
            <sz val="11"/>
            <color theme="1"/>
            <rFont val="Calibri"/>
            <family val="2"/>
            <scheme val="minor"/>
          </rPr>
          <t>Seleccionar un valor del listado</t>
        </r>
      </text>
    </comment>
    <comment ref="D36" authorId="1" shapeId="0">
      <text>
        <r>
          <rPr>
            <sz val="11"/>
            <color theme="1"/>
            <rFont val="Calibri"/>
            <family val="2"/>
            <scheme val="minor"/>
          </rPr>
          <t>Seleccione el tipo de procedimiento</t>
        </r>
      </text>
    </comment>
    <comment ref="E36" authorId="1" shapeId="0">
      <text>
        <r>
          <rPr>
            <sz val="11"/>
            <color theme="1"/>
            <rFont val="Calibri"/>
            <family val="2"/>
            <scheme val="minor"/>
          </rPr>
          <t>Seleccione un valor de la lista</t>
        </r>
      </text>
    </comment>
    <comment ref="F36" authorId="1" shapeId="0">
      <text>
        <r>
          <rPr>
            <sz val="11"/>
            <color theme="1"/>
            <rFont val="Calibri"/>
            <family val="2"/>
            <scheme val="minor"/>
          </rPr>
          <t>Introduzca el código SNIP</t>
        </r>
      </text>
    </comment>
    <comment ref="C37" authorId="1" shapeId="0">
      <text>
        <r>
          <rPr>
            <sz val="11"/>
            <color theme="1"/>
            <rFont val="Calibri"/>
            <family val="2"/>
            <scheme val="minor"/>
          </rPr>
          <t>Introduzca la fecha de inicio del proceso, en formato dd-mm-aaaa</t>
        </r>
      </text>
    </comment>
    <comment ref="F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 authorId="1" shapeId="0">
      <text/>
    </comment>
    <comment ref="C39" authorId="1" shapeId="0">
      <text>
        <r>
          <rPr>
            <sz val="11"/>
            <color theme="1"/>
            <rFont val="Calibri"/>
            <family val="2"/>
            <scheme val="minor"/>
          </rPr>
          <t>Introduzca la fecha prevista de adjudicación, en formato dd-mm-aaaa</t>
        </r>
      </text>
    </comment>
    <comment ref="F39" authorId="1" shapeId="0">
      <text/>
    </comment>
    <comment ref="F40" authorId="1" shapeId="0">
      <text/>
    </comment>
    <comment ref="A42" authorId="1" shapeId="0">
      <text>
        <r>
          <rPr>
            <sz val="11"/>
            <color theme="1"/>
            <rFont val="Calibri"/>
            <family val="2"/>
            <scheme val="minor"/>
          </rPr>
          <t>Introduzca un codigo UNSPSC</t>
        </r>
      </text>
    </comment>
    <comment ref="B42" authorId="1" shapeId="0">
      <text>
        <r>
          <rPr>
            <sz val="11"/>
            <color theme="1"/>
            <rFont val="Calibri"/>
            <family val="2"/>
            <scheme val="minor"/>
          </rPr>
          <t>Descripción calculada automáticamente a partir de código del artículo</t>
        </r>
      </text>
    </comment>
    <comment ref="C42" authorId="1" shapeId="0">
      <text>
        <r>
          <rPr>
            <sz val="11"/>
            <color theme="1"/>
            <rFont val="Calibri"/>
            <family val="2"/>
            <scheme val="minor"/>
          </rPr>
          <t>Seleccione un valor de la lista</t>
        </r>
      </text>
    </comment>
    <comment ref="D42" authorId="1" shapeId="0">
      <text>
        <r>
          <rPr>
            <sz val="11"/>
            <color theme="1"/>
            <rFont val="Calibri"/>
            <family val="2"/>
            <scheme val="minor"/>
          </rPr>
          <t>Introduzca un número con dos decimales como máximo. Debe ser igual o mayor a la "Cantidad Real Consumida"</t>
        </r>
      </text>
    </comment>
    <comment ref="E42" authorId="1" shapeId="0">
      <text>
        <r>
          <rPr>
            <sz val="11"/>
            <color theme="1"/>
            <rFont val="Calibri"/>
            <family val="2"/>
            <scheme val="minor"/>
          </rPr>
          <t>Introduzca un número con dos decimales como máximo</t>
        </r>
      </text>
    </comment>
    <comment ref="F42" authorId="1" shapeId="0">
      <text>
        <r>
          <rPr>
            <sz val="11"/>
            <color theme="1"/>
            <rFont val="Calibri"/>
            <family val="2"/>
            <scheme val="minor"/>
          </rPr>
          <t>Monto calculado automáticamente por el sistema</t>
        </r>
      </text>
    </comment>
    <comment ref="A50" authorId="1" shapeId="0">
      <text>
        <r>
          <rPr>
            <sz val="11"/>
            <color theme="1"/>
            <rFont val="Calibri"/>
            <family val="2"/>
            <scheme val="minor"/>
          </rPr>
          <t>Introducir un texto con el nombre o referencia de la contratación</t>
        </r>
      </text>
    </comment>
    <comment ref="B50" authorId="1" shapeId="0">
      <text>
        <r>
          <rPr>
            <sz val="11"/>
            <color theme="1"/>
            <rFont val="Calibri"/>
            <family val="2"/>
            <scheme val="minor"/>
          </rPr>
          <t>Introduzca un texto con la finalidad de la contratación</t>
        </r>
      </text>
    </comment>
    <comment ref="C50" authorId="1" shapeId="0">
      <text>
        <r>
          <rPr>
            <sz val="11"/>
            <color theme="1"/>
            <rFont val="Calibri"/>
            <family val="2"/>
            <scheme val="minor"/>
          </rPr>
          <t>Seleccionar un valor del listado</t>
        </r>
      </text>
    </comment>
    <comment ref="D50" authorId="1" shapeId="0">
      <text>
        <r>
          <rPr>
            <sz val="11"/>
            <color theme="1"/>
            <rFont val="Calibri"/>
            <family val="2"/>
            <scheme val="minor"/>
          </rPr>
          <t>Seleccione el tipo de procedimiento</t>
        </r>
      </text>
    </comment>
    <comment ref="E50" authorId="1" shapeId="0">
      <text>
        <r>
          <rPr>
            <sz val="11"/>
            <color theme="1"/>
            <rFont val="Calibri"/>
            <family val="2"/>
            <scheme val="minor"/>
          </rPr>
          <t>Seleccione un valor de la lista</t>
        </r>
      </text>
    </comment>
    <comment ref="F50" authorId="1" shapeId="0">
      <text>
        <r>
          <rPr>
            <sz val="11"/>
            <color theme="1"/>
            <rFont val="Calibri"/>
            <family val="2"/>
            <scheme val="minor"/>
          </rPr>
          <t>Introduzca el código SNIP</t>
        </r>
      </text>
    </comment>
    <comment ref="C51" authorId="1" shapeId="0">
      <text>
        <r>
          <rPr>
            <sz val="11"/>
            <color theme="1"/>
            <rFont val="Calibri"/>
            <family val="2"/>
            <scheme val="minor"/>
          </rPr>
          <t>Introduzca la fecha de inicio del proceso, en formato dd-mm-aaaa</t>
        </r>
      </text>
    </comment>
    <comment ref="F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text/>
    </comment>
    <comment ref="C53" authorId="1" shapeId="0">
      <text>
        <r>
          <rPr>
            <sz val="11"/>
            <color theme="1"/>
            <rFont val="Calibri"/>
            <family val="2"/>
            <scheme val="minor"/>
          </rPr>
          <t>Introduzca la fecha prevista de adjudicación, en formato dd-mm-aaaa</t>
        </r>
      </text>
    </comment>
    <comment ref="F53" authorId="1" shapeId="0">
      <text/>
    </comment>
    <comment ref="F54" authorId="1" shapeId="0">
      <text/>
    </comment>
    <comment ref="A56" authorId="1" shapeId="0">
      <text>
        <r>
          <rPr>
            <sz val="11"/>
            <color theme="1"/>
            <rFont val="Calibri"/>
            <family val="2"/>
            <scheme val="minor"/>
          </rPr>
          <t>Introduzca un codigo UNSPSC</t>
        </r>
      </text>
    </comment>
    <comment ref="B56" authorId="1" shapeId="0">
      <text>
        <r>
          <rPr>
            <sz val="11"/>
            <color theme="1"/>
            <rFont val="Calibri"/>
            <family val="2"/>
            <scheme val="minor"/>
          </rPr>
          <t>Descripción calculada automáticamente a partir de código del artículo</t>
        </r>
      </text>
    </comment>
    <comment ref="C56" authorId="1" shapeId="0">
      <text>
        <r>
          <rPr>
            <sz val="11"/>
            <color theme="1"/>
            <rFont val="Calibri"/>
            <family val="2"/>
            <scheme val="minor"/>
          </rPr>
          <t>Seleccione un valor de la lista</t>
        </r>
      </text>
    </comment>
    <comment ref="D56" authorId="1" shapeId="0">
      <text>
        <r>
          <rPr>
            <sz val="11"/>
            <color theme="1"/>
            <rFont val="Calibri"/>
            <family val="2"/>
            <scheme val="minor"/>
          </rPr>
          <t>Introduzca un número con dos decimales como máximo. Debe ser igual o mayor a la "Cantidad Real Consumida"</t>
        </r>
      </text>
    </comment>
    <comment ref="E56" authorId="1" shapeId="0">
      <text>
        <r>
          <rPr>
            <sz val="11"/>
            <color theme="1"/>
            <rFont val="Calibri"/>
            <family val="2"/>
            <scheme val="minor"/>
          </rPr>
          <t>Introduzca un número con dos decimales como máximo</t>
        </r>
      </text>
    </comment>
    <comment ref="F56" authorId="1" shapeId="0">
      <text>
        <r>
          <rPr>
            <sz val="11"/>
            <color theme="1"/>
            <rFont val="Calibri"/>
            <family val="2"/>
            <scheme val="minor"/>
          </rPr>
          <t>Monto calculado automáticamente por el sistema</t>
        </r>
      </text>
    </comment>
    <comment ref="A61" authorId="1" shapeId="0">
      <text>
        <r>
          <rPr>
            <sz val="11"/>
            <color theme="1"/>
            <rFont val="Calibri"/>
            <family val="2"/>
            <scheme val="minor"/>
          </rPr>
          <t>Introducir un texto con el nombre o referencia de la contratación</t>
        </r>
      </text>
    </comment>
    <comment ref="B61" authorId="1" shapeId="0">
      <text>
        <r>
          <rPr>
            <sz val="11"/>
            <color theme="1"/>
            <rFont val="Calibri"/>
            <family val="2"/>
            <scheme val="minor"/>
          </rPr>
          <t>Introduzca un texto con la finalidad de la contratación</t>
        </r>
      </text>
    </comment>
    <comment ref="C61" authorId="1" shapeId="0">
      <text>
        <r>
          <rPr>
            <sz val="11"/>
            <color theme="1"/>
            <rFont val="Calibri"/>
            <family val="2"/>
            <scheme val="minor"/>
          </rPr>
          <t>Seleccionar un valor del listado</t>
        </r>
      </text>
    </comment>
    <comment ref="D61" authorId="1" shapeId="0">
      <text>
        <r>
          <rPr>
            <sz val="11"/>
            <color theme="1"/>
            <rFont val="Calibri"/>
            <family val="2"/>
            <scheme val="minor"/>
          </rPr>
          <t>Seleccione el tipo de procedimiento</t>
        </r>
      </text>
    </comment>
    <comment ref="E61" authorId="1" shapeId="0">
      <text>
        <r>
          <rPr>
            <sz val="11"/>
            <color theme="1"/>
            <rFont val="Calibri"/>
            <family val="2"/>
            <scheme val="minor"/>
          </rPr>
          <t>Seleccione un valor de la lista</t>
        </r>
      </text>
    </comment>
    <comment ref="F61" authorId="1" shapeId="0">
      <text>
        <r>
          <rPr>
            <sz val="11"/>
            <color theme="1"/>
            <rFont val="Calibri"/>
            <family val="2"/>
            <scheme val="minor"/>
          </rPr>
          <t>Introduzca el código SNIP</t>
        </r>
      </text>
    </comment>
    <comment ref="C62" authorId="1" shapeId="0">
      <text>
        <r>
          <rPr>
            <sz val="11"/>
            <color theme="1"/>
            <rFont val="Calibri"/>
            <family val="2"/>
            <scheme val="minor"/>
          </rPr>
          <t>Introduzca la fecha de inicio del proceso, en formato dd-mm-aaaa</t>
        </r>
      </text>
    </comment>
    <comment ref="F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text/>
    </comment>
    <comment ref="C64" authorId="1" shapeId="0">
      <text>
        <r>
          <rPr>
            <sz val="11"/>
            <color theme="1"/>
            <rFont val="Calibri"/>
            <family val="2"/>
            <scheme val="minor"/>
          </rPr>
          <t>Introduzca la fecha prevista de adjudicación, en formato dd-mm-aaaa</t>
        </r>
      </text>
    </comment>
    <comment ref="F64" authorId="1" shapeId="0">
      <text/>
    </comment>
    <comment ref="F65" authorId="1" shapeId="0">
      <text/>
    </comment>
    <comment ref="A67" authorId="1" shapeId="0">
      <text>
        <r>
          <rPr>
            <sz val="11"/>
            <color theme="1"/>
            <rFont val="Calibri"/>
            <family val="2"/>
            <scheme val="minor"/>
          </rPr>
          <t>Introduzca un codigo UNSPSC</t>
        </r>
      </text>
    </comment>
    <comment ref="B67" authorId="1" shapeId="0">
      <text>
        <r>
          <rPr>
            <sz val="11"/>
            <color theme="1"/>
            <rFont val="Calibri"/>
            <family val="2"/>
            <scheme val="minor"/>
          </rPr>
          <t>Descripción calculada automáticamente a partir de código del artículo</t>
        </r>
      </text>
    </comment>
    <comment ref="C67" authorId="1" shapeId="0">
      <text>
        <r>
          <rPr>
            <sz val="11"/>
            <color theme="1"/>
            <rFont val="Calibri"/>
            <family val="2"/>
            <scheme val="minor"/>
          </rPr>
          <t>Seleccione un valor de la lista</t>
        </r>
      </text>
    </comment>
    <comment ref="D67" authorId="1" shapeId="0">
      <text>
        <r>
          <rPr>
            <sz val="11"/>
            <color theme="1"/>
            <rFont val="Calibri"/>
            <family val="2"/>
            <scheme val="minor"/>
          </rPr>
          <t>Introduzca un número con dos decimales como máximo. Debe ser igual o mayor a la "Cantidad Real Consumida"</t>
        </r>
      </text>
    </comment>
    <comment ref="E67" authorId="1" shapeId="0">
      <text>
        <r>
          <rPr>
            <sz val="11"/>
            <color theme="1"/>
            <rFont val="Calibri"/>
            <family val="2"/>
            <scheme val="minor"/>
          </rPr>
          <t>Introduzca un número con dos decimales como máximo</t>
        </r>
      </text>
    </comment>
    <comment ref="F67" authorId="1" shapeId="0">
      <text>
        <r>
          <rPr>
            <sz val="11"/>
            <color theme="1"/>
            <rFont val="Calibri"/>
            <family val="2"/>
            <scheme val="minor"/>
          </rPr>
          <t>Monto calculado automáticamente por el sistema</t>
        </r>
      </text>
    </comment>
    <comment ref="A72" authorId="1" shapeId="0">
      <text>
        <r>
          <rPr>
            <sz val="11"/>
            <color theme="1"/>
            <rFont val="Calibri"/>
            <family val="2"/>
            <scheme val="minor"/>
          </rPr>
          <t>Introducir un texto con el nombre o referencia de la contratación</t>
        </r>
      </text>
    </comment>
    <comment ref="B72" authorId="1" shapeId="0">
      <text>
        <r>
          <rPr>
            <sz val="11"/>
            <color theme="1"/>
            <rFont val="Calibri"/>
            <family val="2"/>
            <scheme val="minor"/>
          </rPr>
          <t>Introduzca un texto con la finalidad de la contratación</t>
        </r>
      </text>
    </comment>
    <comment ref="C72" authorId="1" shapeId="0">
      <text>
        <r>
          <rPr>
            <sz val="11"/>
            <color theme="1"/>
            <rFont val="Calibri"/>
            <family val="2"/>
            <scheme val="minor"/>
          </rPr>
          <t>Seleccionar un valor del listado</t>
        </r>
      </text>
    </comment>
    <comment ref="D72" authorId="1" shapeId="0">
      <text>
        <r>
          <rPr>
            <sz val="11"/>
            <color theme="1"/>
            <rFont val="Calibri"/>
            <family val="2"/>
            <scheme val="minor"/>
          </rPr>
          <t>Seleccione el tipo de procedimiento</t>
        </r>
      </text>
    </comment>
    <comment ref="E72" authorId="1" shapeId="0">
      <text>
        <r>
          <rPr>
            <sz val="11"/>
            <color theme="1"/>
            <rFont val="Calibri"/>
            <family val="2"/>
            <scheme val="minor"/>
          </rPr>
          <t>Seleccione un valor de la lista</t>
        </r>
      </text>
    </comment>
    <comment ref="F72" authorId="1" shapeId="0">
      <text>
        <r>
          <rPr>
            <sz val="11"/>
            <color theme="1"/>
            <rFont val="Calibri"/>
            <family val="2"/>
            <scheme val="minor"/>
          </rPr>
          <t>Introduzca el código SNIP</t>
        </r>
      </text>
    </comment>
    <comment ref="C73" authorId="1" shapeId="0">
      <text>
        <r>
          <rPr>
            <sz val="11"/>
            <color theme="1"/>
            <rFont val="Calibri"/>
            <family val="2"/>
            <scheme val="minor"/>
          </rPr>
          <t>Introduzca la fecha de inicio del proceso, en formato dd-mm-aaaa</t>
        </r>
      </text>
    </comment>
    <comment ref="F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text/>
    </comment>
    <comment ref="C75" authorId="1" shapeId="0">
      <text>
        <r>
          <rPr>
            <sz val="11"/>
            <color theme="1"/>
            <rFont val="Calibri"/>
            <family val="2"/>
            <scheme val="minor"/>
          </rPr>
          <t>Introduzca la fecha prevista de adjudicación, en formato dd-mm-aaaa</t>
        </r>
      </text>
    </comment>
    <comment ref="F75" authorId="1" shapeId="0">
      <text/>
    </comment>
    <comment ref="F76" authorId="1" shapeId="0">
      <text/>
    </comment>
    <comment ref="A78" authorId="1" shapeId="0">
      <text>
        <r>
          <rPr>
            <sz val="11"/>
            <color theme="1"/>
            <rFont val="Calibri"/>
            <family val="2"/>
            <scheme val="minor"/>
          </rPr>
          <t>Introduzca un codigo UNSPSC</t>
        </r>
      </text>
    </comment>
    <comment ref="B78" authorId="1" shapeId="0">
      <text>
        <r>
          <rPr>
            <sz val="11"/>
            <color theme="1"/>
            <rFont val="Calibri"/>
            <family val="2"/>
            <scheme val="minor"/>
          </rPr>
          <t>Descripción calculada automáticamente a partir de código del artículo</t>
        </r>
      </text>
    </comment>
    <comment ref="C78" authorId="1" shapeId="0">
      <text>
        <r>
          <rPr>
            <sz val="11"/>
            <color theme="1"/>
            <rFont val="Calibri"/>
            <family val="2"/>
            <scheme val="minor"/>
          </rPr>
          <t>Seleccione un valor de la lista</t>
        </r>
      </text>
    </comment>
    <comment ref="D78" authorId="1" shapeId="0">
      <text>
        <r>
          <rPr>
            <sz val="11"/>
            <color theme="1"/>
            <rFont val="Calibri"/>
            <family val="2"/>
            <scheme val="minor"/>
          </rPr>
          <t>Introduzca un número con dos decimales como máximo. Debe ser igual o mayor a la "Cantidad Real Consumida"</t>
        </r>
      </text>
    </comment>
    <comment ref="E78" authorId="1" shapeId="0">
      <text>
        <r>
          <rPr>
            <sz val="11"/>
            <color theme="1"/>
            <rFont val="Calibri"/>
            <family val="2"/>
            <scheme val="minor"/>
          </rPr>
          <t>Introduzca un número con dos decimales como máximo</t>
        </r>
      </text>
    </comment>
    <comment ref="F78" authorId="1" shapeId="0">
      <text>
        <r>
          <rPr>
            <sz val="11"/>
            <color theme="1"/>
            <rFont val="Calibri"/>
            <family val="2"/>
            <scheme val="minor"/>
          </rPr>
          <t>Monto calculado automáticamente por el sistema</t>
        </r>
      </text>
    </comment>
    <comment ref="A83" authorId="1" shapeId="0">
      <text>
        <r>
          <rPr>
            <sz val="11"/>
            <color theme="1"/>
            <rFont val="Calibri"/>
            <family val="2"/>
            <scheme val="minor"/>
          </rPr>
          <t>Introducir un texto con el nombre o referencia de la contratación</t>
        </r>
      </text>
    </comment>
    <comment ref="B83" authorId="1" shapeId="0">
      <text>
        <r>
          <rPr>
            <sz val="11"/>
            <color theme="1"/>
            <rFont val="Calibri"/>
            <family val="2"/>
            <scheme val="minor"/>
          </rPr>
          <t>Introduzca un texto con la finalidad de la contratación</t>
        </r>
      </text>
    </comment>
    <comment ref="C83" authorId="1" shapeId="0">
      <text>
        <r>
          <rPr>
            <sz val="11"/>
            <color theme="1"/>
            <rFont val="Calibri"/>
            <family val="2"/>
            <scheme val="minor"/>
          </rPr>
          <t>Seleccionar un valor del listado</t>
        </r>
      </text>
    </comment>
    <comment ref="D83" authorId="1" shapeId="0">
      <text>
        <r>
          <rPr>
            <sz val="11"/>
            <color theme="1"/>
            <rFont val="Calibri"/>
            <family val="2"/>
            <scheme val="minor"/>
          </rPr>
          <t>Seleccione el tipo de procedimiento</t>
        </r>
      </text>
    </comment>
    <comment ref="E83" authorId="1" shapeId="0">
      <text>
        <r>
          <rPr>
            <sz val="11"/>
            <color theme="1"/>
            <rFont val="Calibri"/>
            <family val="2"/>
            <scheme val="minor"/>
          </rPr>
          <t>Seleccione un valor de la lista</t>
        </r>
      </text>
    </comment>
    <comment ref="F83" authorId="1" shapeId="0">
      <text>
        <r>
          <rPr>
            <sz val="11"/>
            <color theme="1"/>
            <rFont val="Calibri"/>
            <family val="2"/>
            <scheme val="minor"/>
          </rPr>
          <t>Introduzca el código SNIP</t>
        </r>
      </text>
    </comment>
    <comment ref="C84" authorId="1" shapeId="0">
      <text>
        <r>
          <rPr>
            <sz val="11"/>
            <color theme="1"/>
            <rFont val="Calibri"/>
            <family val="2"/>
            <scheme val="minor"/>
          </rPr>
          <t>Introduzca la fecha de inicio del proceso, en formato dd-mm-aaaa</t>
        </r>
      </text>
    </comment>
    <comment ref="F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text/>
    </comment>
    <comment ref="C86" authorId="1" shapeId="0">
      <text>
        <r>
          <rPr>
            <sz val="11"/>
            <color theme="1"/>
            <rFont val="Calibri"/>
            <family val="2"/>
            <scheme val="minor"/>
          </rPr>
          <t>Introduzca la fecha prevista de adjudicación, en formato dd-mm-aaaa</t>
        </r>
      </text>
    </comment>
    <comment ref="F86" authorId="1" shapeId="0">
      <text/>
    </comment>
    <comment ref="F87" authorId="1" shapeId="0">
      <text/>
    </comment>
    <comment ref="A89" authorId="1" shapeId="0">
      <text>
        <r>
          <rPr>
            <sz val="11"/>
            <color theme="1"/>
            <rFont val="Calibri"/>
            <family val="2"/>
            <scheme val="minor"/>
          </rPr>
          <t>Introduzca un codigo UNSPSC</t>
        </r>
      </text>
    </comment>
    <comment ref="B89" authorId="1" shapeId="0">
      <text>
        <r>
          <rPr>
            <sz val="11"/>
            <color theme="1"/>
            <rFont val="Calibri"/>
            <family val="2"/>
            <scheme val="minor"/>
          </rPr>
          <t>Descripción calculada automáticamente a partir de código del artículo</t>
        </r>
      </text>
    </comment>
    <comment ref="C89" authorId="1" shapeId="0">
      <text>
        <r>
          <rPr>
            <sz val="11"/>
            <color theme="1"/>
            <rFont val="Calibri"/>
            <family val="2"/>
            <scheme val="minor"/>
          </rPr>
          <t>Seleccione un valor de la lista</t>
        </r>
      </text>
    </comment>
    <comment ref="D89" authorId="1" shapeId="0">
      <text>
        <r>
          <rPr>
            <sz val="11"/>
            <color theme="1"/>
            <rFont val="Calibri"/>
            <family val="2"/>
            <scheme val="minor"/>
          </rPr>
          <t>Introduzca un número con dos decimales como máximo. Debe ser igual o mayor a la "Cantidad Real Consumida"</t>
        </r>
      </text>
    </comment>
    <comment ref="E89" authorId="1" shapeId="0">
      <text>
        <r>
          <rPr>
            <sz val="11"/>
            <color theme="1"/>
            <rFont val="Calibri"/>
            <family val="2"/>
            <scheme val="minor"/>
          </rPr>
          <t>Introduzca un número con dos decimales como máximo</t>
        </r>
      </text>
    </comment>
    <comment ref="F89" authorId="1" shapeId="0">
      <text>
        <r>
          <rPr>
            <sz val="11"/>
            <color theme="1"/>
            <rFont val="Calibri"/>
            <family val="2"/>
            <scheme val="minor"/>
          </rPr>
          <t>Monto calculado automáticamente por el sistema</t>
        </r>
      </text>
    </comment>
    <comment ref="A109" authorId="1" shapeId="0">
      <text>
        <r>
          <rPr>
            <sz val="11"/>
            <color theme="1"/>
            <rFont val="Calibri"/>
            <family val="2"/>
            <scheme val="minor"/>
          </rPr>
          <t>Introducir un texto con el nombre o referencia de la contratación</t>
        </r>
      </text>
    </comment>
    <comment ref="B109" authorId="1" shapeId="0">
      <text>
        <r>
          <rPr>
            <sz val="11"/>
            <color theme="1"/>
            <rFont val="Calibri"/>
            <family val="2"/>
            <scheme val="minor"/>
          </rPr>
          <t>Introduzca un texto con la finalidad de la contratación</t>
        </r>
      </text>
    </comment>
    <comment ref="C109" authorId="1" shapeId="0">
      <text>
        <r>
          <rPr>
            <sz val="11"/>
            <color theme="1"/>
            <rFont val="Calibri"/>
            <family val="2"/>
            <scheme val="minor"/>
          </rPr>
          <t>Seleccionar un valor del listado</t>
        </r>
      </text>
    </comment>
    <comment ref="D109" authorId="1" shapeId="0">
      <text>
        <r>
          <rPr>
            <sz val="11"/>
            <color theme="1"/>
            <rFont val="Calibri"/>
            <family val="2"/>
            <scheme val="minor"/>
          </rPr>
          <t>Seleccione el tipo de procedimiento</t>
        </r>
      </text>
    </comment>
    <comment ref="E109" authorId="1" shapeId="0">
      <text>
        <r>
          <rPr>
            <sz val="11"/>
            <color theme="1"/>
            <rFont val="Calibri"/>
            <family val="2"/>
            <scheme val="minor"/>
          </rPr>
          <t>Seleccione un valor de la lista</t>
        </r>
      </text>
    </comment>
    <comment ref="F109" authorId="1" shapeId="0">
      <text>
        <r>
          <rPr>
            <sz val="11"/>
            <color theme="1"/>
            <rFont val="Calibri"/>
            <family val="2"/>
            <scheme val="minor"/>
          </rPr>
          <t>Introduzca el código SNIP</t>
        </r>
      </text>
    </comment>
    <comment ref="C110" authorId="1" shapeId="0">
      <text>
        <r>
          <rPr>
            <sz val="11"/>
            <color theme="1"/>
            <rFont val="Calibri"/>
            <family val="2"/>
            <scheme val="minor"/>
          </rPr>
          <t>Introduzca la fecha de inicio del proceso, en formato dd-mm-aaaa</t>
        </r>
      </text>
    </comment>
    <comment ref="F1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 authorId="1" shapeId="0">
      <text/>
    </comment>
    <comment ref="C112" authorId="1" shapeId="0">
      <text>
        <r>
          <rPr>
            <sz val="11"/>
            <color theme="1"/>
            <rFont val="Calibri"/>
            <family val="2"/>
            <scheme val="minor"/>
          </rPr>
          <t>Introduzca la fecha prevista de adjudicación, en formato dd-mm-aaaa</t>
        </r>
      </text>
    </comment>
    <comment ref="F112" authorId="1" shapeId="0">
      <text/>
    </comment>
    <comment ref="F113" authorId="1" shapeId="0">
      <text/>
    </comment>
    <comment ref="A115" authorId="1" shapeId="0">
      <text>
        <r>
          <rPr>
            <sz val="11"/>
            <color theme="1"/>
            <rFont val="Calibri"/>
            <family val="2"/>
            <scheme val="minor"/>
          </rPr>
          <t>Introduzca un codigo UNSPSC</t>
        </r>
      </text>
    </comment>
    <comment ref="B115" authorId="1" shapeId="0">
      <text>
        <r>
          <rPr>
            <sz val="11"/>
            <color theme="1"/>
            <rFont val="Calibri"/>
            <family val="2"/>
            <scheme val="minor"/>
          </rPr>
          <t>Descripción calculada automáticamente a partir de código del artículo</t>
        </r>
      </text>
    </comment>
    <comment ref="C115" authorId="1" shapeId="0">
      <text>
        <r>
          <rPr>
            <sz val="11"/>
            <color theme="1"/>
            <rFont val="Calibri"/>
            <family val="2"/>
            <scheme val="minor"/>
          </rPr>
          <t>Seleccione un valor de la lista</t>
        </r>
      </text>
    </comment>
    <comment ref="D115" authorId="1" shapeId="0">
      <text>
        <r>
          <rPr>
            <sz val="11"/>
            <color theme="1"/>
            <rFont val="Calibri"/>
            <family val="2"/>
            <scheme val="minor"/>
          </rPr>
          <t>Introduzca un número con dos decimales como máximo. Debe ser igual o mayor a la "Cantidad Real Consumida"</t>
        </r>
      </text>
    </comment>
    <comment ref="E115" authorId="1" shapeId="0">
      <text>
        <r>
          <rPr>
            <sz val="11"/>
            <color theme="1"/>
            <rFont val="Calibri"/>
            <family val="2"/>
            <scheme val="minor"/>
          </rPr>
          <t>Introduzca un número con dos decimales como máximo</t>
        </r>
      </text>
    </comment>
    <comment ref="F115" authorId="1" shapeId="0">
      <text>
        <r>
          <rPr>
            <sz val="11"/>
            <color theme="1"/>
            <rFont val="Calibri"/>
            <family val="2"/>
            <scheme val="minor"/>
          </rPr>
          <t>Monto calculado automáticamente por el sistema</t>
        </r>
      </text>
    </comment>
    <comment ref="A120" authorId="1" shapeId="0">
      <text>
        <r>
          <rPr>
            <sz val="11"/>
            <color theme="1"/>
            <rFont val="Calibri"/>
            <family val="2"/>
            <scheme val="minor"/>
          </rPr>
          <t>Introducir un texto con el nombre o referencia de la contratación</t>
        </r>
      </text>
    </comment>
    <comment ref="B120" authorId="1" shapeId="0">
      <text>
        <r>
          <rPr>
            <sz val="11"/>
            <color theme="1"/>
            <rFont val="Calibri"/>
            <family val="2"/>
            <scheme val="minor"/>
          </rPr>
          <t>Introduzca un texto con la finalidad de la contratación</t>
        </r>
      </text>
    </comment>
    <comment ref="C120" authorId="1" shapeId="0">
      <text>
        <r>
          <rPr>
            <sz val="11"/>
            <color theme="1"/>
            <rFont val="Calibri"/>
            <family val="2"/>
            <scheme val="minor"/>
          </rPr>
          <t>Seleccionar un valor del listado</t>
        </r>
      </text>
    </comment>
    <comment ref="D120" authorId="1" shapeId="0">
      <text>
        <r>
          <rPr>
            <sz val="11"/>
            <color theme="1"/>
            <rFont val="Calibri"/>
            <family val="2"/>
            <scheme val="minor"/>
          </rPr>
          <t>Seleccione el tipo de procedimiento</t>
        </r>
      </text>
    </comment>
    <comment ref="E120" authorId="1" shapeId="0">
      <text>
        <r>
          <rPr>
            <sz val="11"/>
            <color theme="1"/>
            <rFont val="Calibri"/>
            <family val="2"/>
            <scheme val="minor"/>
          </rPr>
          <t>Seleccione un valor de la lista</t>
        </r>
      </text>
    </comment>
    <comment ref="F120" authorId="1" shapeId="0">
      <text>
        <r>
          <rPr>
            <sz val="11"/>
            <color theme="1"/>
            <rFont val="Calibri"/>
            <family val="2"/>
            <scheme val="minor"/>
          </rPr>
          <t>Introduzca el código SNIP</t>
        </r>
      </text>
    </comment>
    <comment ref="C121" authorId="1" shapeId="0">
      <text>
        <r>
          <rPr>
            <sz val="11"/>
            <color theme="1"/>
            <rFont val="Calibri"/>
            <family val="2"/>
            <scheme val="minor"/>
          </rPr>
          <t>Introduzca la fecha de inicio del proceso, en formato dd-mm-aaaa</t>
        </r>
      </text>
    </comment>
    <comment ref="F1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text/>
    </comment>
    <comment ref="C123" authorId="1" shapeId="0">
      <text>
        <r>
          <rPr>
            <sz val="11"/>
            <color theme="1"/>
            <rFont val="Calibri"/>
            <family val="2"/>
            <scheme val="minor"/>
          </rPr>
          <t>Introduzca la fecha prevista de adjudicación, en formato dd-mm-aaaa</t>
        </r>
      </text>
    </comment>
    <comment ref="F123" authorId="1" shapeId="0">
      <text/>
    </comment>
    <comment ref="F124" authorId="1" shapeId="0">
      <text/>
    </comment>
    <comment ref="A126" authorId="1" shapeId="0">
      <text>
        <r>
          <rPr>
            <sz val="11"/>
            <color theme="1"/>
            <rFont val="Calibri"/>
            <family val="2"/>
            <scheme val="minor"/>
          </rPr>
          <t>Introduzca un codigo UNSPSC</t>
        </r>
      </text>
    </comment>
    <comment ref="B126" authorId="1" shapeId="0">
      <text>
        <r>
          <rPr>
            <sz val="11"/>
            <color theme="1"/>
            <rFont val="Calibri"/>
            <family val="2"/>
            <scheme val="minor"/>
          </rPr>
          <t>Descripción calculada automáticamente a partir de código del artículo</t>
        </r>
      </text>
    </comment>
    <comment ref="C126" authorId="1" shapeId="0">
      <text>
        <r>
          <rPr>
            <sz val="11"/>
            <color theme="1"/>
            <rFont val="Calibri"/>
            <family val="2"/>
            <scheme val="minor"/>
          </rPr>
          <t>Seleccione un valor de la lista</t>
        </r>
      </text>
    </comment>
    <comment ref="D126" authorId="1" shapeId="0">
      <text>
        <r>
          <rPr>
            <sz val="11"/>
            <color theme="1"/>
            <rFont val="Calibri"/>
            <family val="2"/>
            <scheme val="minor"/>
          </rPr>
          <t>Introduzca un número con dos decimales como máximo. Debe ser igual o mayor a la "Cantidad Real Consumida"</t>
        </r>
      </text>
    </comment>
    <comment ref="E126" authorId="1" shapeId="0">
      <text>
        <r>
          <rPr>
            <sz val="11"/>
            <color theme="1"/>
            <rFont val="Calibri"/>
            <family val="2"/>
            <scheme val="minor"/>
          </rPr>
          <t>Introduzca un número con dos decimales como máximo</t>
        </r>
      </text>
    </comment>
    <comment ref="F126" authorId="1" shapeId="0">
      <text>
        <r>
          <rPr>
            <sz val="11"/>
            <color theme="1"/>
            <rFont val="Calibri"/>
            <family val="2"/>
            <scheme val="minor"/>
          </rPr>
          <t>Monto calculado automáticamente por el sistema</t>
        </r>
      </text>
    </comment>
    <comment ref="A131" authorId="1" shapeId="0">
      <text>
        <r>
          <rPr>
            <sz val="11"/>
            <color theme="1"/>
            <rFont val="Calibri"/>
            <family val="2"/>
            <scheme val="minor"/>
          </rPr>
          <t>Introducir un texto con el nombre o referencia de la contratación</t>
        </r>
      </text>
    </comment>
    <comment ref="B131" authorId="1" shapeId="0">
      <text>
        <r>
          <rPr>
            <sz val="11"/>
            <color theme="1"/>
            <rFont val="Calibri"/>
            <family val="2"/>
            <scheme val="minor"/>
          </rPr>
          <t>Introduzca un texto con la finalidad de la contratación</t>
        </r>
      </text>
    </comment>
    <comment ref="C131" authorId="1" shapeId="0">
      <text>
        <r>
          <rPr>
            <sz val="11"/>
            <color theme="1"/>
            <rFont val="Calibri"/>
            <family val="2"/>
            <scheme val="minor"/>
          </rPr>
          <t>Seleccionar un valor del listado</t>
        </r>
      </text>
    </comment>
    <comment ref="D131" authorId="1" shapeId="0">
      <text>
        <r>
          <rPr>
            <sz val="11"/>
            <color theme="1"/>
            <rFont val="Calibri"/>
            <family val="2"/>
            <scheme val="minor"/>
          </rPr>
          <t>Seleccione el tipo de procedimiento</t>
        </r>
      </text>
    </comment>
    <comment ref="E131" authorId="1" shapeId="0">
      <text>
        <r>
          <rPr>
            <sz val="11"/>
            <color theme="1"/>
            <rFont val="Calibri"/>
            <family val="2"/>
            <scheme val="minor"/>
          </rPr>
          <t>Seleccione un valor de la lista</t>
        </r>
      </text>
    </comment>
    <comment ref="F131" authorId="1" shapeId="0">
      <text>
        <r>
          <rPr>
            <sz val="11"/>
            <color theme="1"/>
            <rFont val="Calibri"/>
            <family val="2"/>
            <scheme val="minor"/>
          </rPr>
          <t>Introduzca el código SNIP</t>
        </r>
      </text>
    </comment>
    <comment ref="C132" authorId="1" shapeId="0">
      <text>
        <r>
          <rPr>
            <sz val="11"/>
            <color theme="1"/>
            <rFont val="Calibri"/>
            <family val="2"/>
            <scheme val="minor"/>
          </rPr>
          <t>Introduzca la fecha de inicio del proceso, en formato dd-mm-aaaa</t>
        </r>
      </text>
    </comment>
    <comment ref="F1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text/>
    </comment>
    <comment ref="C134" authorId="1" shapeId="0">
      <text>
        <r>
          <rPr>
            <sz val="11"/>
            <color theme="1"/>
            <rFont val="Calibri"/>
            <family val="2"/>
            <scheme val="minor"/>
          </rPr>
          <t>Introduzca la fecha prevista de adjudicación, en formato dd-mm-aaaa</t>
        </r>
      </text>
    </comment>
    <comment ref="F134" authorId="1" shapeId="0">
      <text/>
    </comment>
    <comment ref="F135" authorId="1" shapeId="0">
      <text/>
    </comment>
    <comment ref="A137" authorId="1" shapeId="0">
      <text>
        <r>
          <rPr>
            <sz val="11"/>
            <color theme="1"/>
            <rFont val="Calibri"/>
            <family val="2"/>
            <scheme val="minor"/>
          </rPr>
          <t>Introduzca un codigo UNSPSC</t>
        </r>
      </text>
    </comment>
    <comment ref="B137" authorId="1" shapeId="0">
      <text>
        <r>
          <rPr>
            <sz val="11"/>
            <color theme="1"/>
            <rFont val="Calibri"/>
            <family val="2"/>
            <scheme val="minor"/>
          </rPr>
          <t>Descripción calculada automáticamente a partir de código del artículo</t>
        </r>
      </text>
    </comment>
    <comment ref="C137" authorId="1" shapeId="0">
      <text>
        <r>
          <rPr>
            <sz val="11"/>
            <color theme="1"/>
            <rFont val="Calibri"/>
            <family val="2"/>
            <scheme val="minor"/>
          </rPr>
          <t>Seleccione un valor de la lista</t>
        </r>
      </text>
    </comment>
    <comment ref="D137" authorId="1" shapeId="0">
      <text>
        <r>
          <rPr>
            <sz val="11"/>
            <color theme="1"/>
            <rFont val="Calibri"/>
            <family val="2"/>
            <scheme val="minor"/>
          </rPr>
          <t>Introduzca un número con dos decimales como máximo. Debe ser igual o mayor a la "Cantidad Real Consumida"</t>
        </r>
      </text>
    </comment>
    <comment ref="E137" authorId="1" shapeId="0">
      <text>
        <r>
          <rPr>
            <sz val="11"/>
            <color theme="1"/>
            <rFont val="Calibri"/>
            <family val="2"/>
            <scheme val="minor"/>
          </rPr>
          <t>Introduzca un número con dos decimales como máximo</t>
        </r>
      </text>
    </comment>
    <comment ref="F137" authorId="1" shapeId="0">
      <text>
        <r>
          <rPr>
            <sz val="11"/>
            <color theme="1"/>
            <rFont val="Calibri"/>
            <family val="2"/>
            <scheme val="minor"/>
          </rPr>
          <t>Monto calculado automáticamente por el sistema</t>
        </r>
      </text>
    </comment>
    <comment ref="A142" authorId="1" shapeId="0">
      <text>
        <r>
          <rPr>
            <sz val="11"/>
            <color theme="1"/>
            <rFont val="Calibri"/>
            <family val="2"/>
            <scheme val="minor"/>
          </rPr>
          <t>Introducir un texto con el nombre o referencia de la contratación</t>
        </r>
      </text>
    </comment>
    <comment ref="B142" authorId="1" shapeId="0">
      <text>
        <r>
          <rPr>
            <sz val="11"/>
            <color theme="1"/>
            <rFont val="Calibri"/>
            <family val="2"/>
            <scheme val="minor"/>
          </rPr>
          <t>Introduzca un texto con la finalidad de la contratación</t>
        </r>
      </text>
    </comment>
    <comment ref="C142" authorId="1" shapeId="0">
      <text>
        <r>
          <rPr>
            <sz val="11"/>
            <color theme="1"/>
            <rFont val="Calibri"/>
            <family val="2"/>
            <scheme val="minor"/>
          </rPr>
          <t>Seleccionar un valor del listado</t>
        </r>
      </text>
    </comment>
    <comment ref="D142" authorId="1" shapeId="0">
      <text>
        <r>
          <rPr>
            <sz val="11"/>
            <color theme="1"/>
            <rFont val="Calibri"/>
            <family val="2"/>
            <scheme val="minor"/>
          </rPr>
          <t>Seleccione el tipo de procedimiento</t>
        </r>
      </text>
    </comment>
    <comment ref="E142" authorId="1" shapeId="0">
      <text>
        <r>
          <rPr>
            <sz val="11"/>
            <color theme="1"/>
            <rFont val="Calibri"/>
            <family val="2"/>
            <scheme val="minor"/>
          </rPr>
          <t>Seleccione un valor de la lista</t>
        </r>
      </text>
    </comment>
    <comment ref="F142" authorId="1" shapeId="0">
      <text>
        <r>
          <rPr>
            <sz val="11"/>
            <color theme="1"/>
            <rFont val="Calibri"/>
            <family val="2"/>
            <scheme val="minor"/>
          </rPr>
          <t>Introduzca el código SNIP</t>
        </r>
      </text>
    </comment>
    <comment ref="C143" authorId="1" shapeId="0">
      <text>
        <r>
          <rPr>
            <sz val="11"/>
            <color theme="1"/>
            <rFont val="Calibri"/>
            <family val="2"/>
            <scheme val="minor"/>
          </rPr>
          <t>Introduzca la fecha de inicio del proceso, en formato dd-mm-aaaa</t>
        </r>
      </text>
    </comment>
    <comment ref="F1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 authorId="1" shapeId="0">
      <text/>
    </comment>
    <comment ref="C145" authorId="1" shapeId="0">
      <text>
        <r>
          <rPr>
            <sz val="11"/>
            <color theme="1"/>
            <rFont val="Calibri"/>
            <family val="2"/>
            <scheme val="minor"/>
          </rPr>
          <t>Introduzca la fecha prevista de adjudicación, en formato dd-mm-aaaa</t>
        </r>
      </text>
    </comment>
    <comment ref="F145" authorId="1" shapeId="0">
      <text/>
    </comment>
    <comment ref="F146" authorId="1" shapeId="0">
      <text/>
    </comment>
    <comment ref="A148" authorId="1" shapeId="0">
      <text>
        <r>
          <rPr>
            <sz val="11"/>
            <color theme="1"/>
            <rFont val="Calibri"/>
            <family val="2"/>
            <scheme val="minor"/>
          </rPr>
          <t>Introduzca un codigo UNSPSC</t>
        </r>
      </text>
    </comment>
    <comment ref="B148" authorId="1" shapeId="0">
      <text>
        <r>
          <rPr>
            <sz val="11"/>
            <color theme="1"/>
            <rFont val="Calibri"/>
            <family val="2"/>
            <scheme val="minor"/>
          </rPr>
          <t>Descripción calculada automáticamente a partir de código del artículo</t>
        </r>
      </text>
    </comment>
    <comment ref="C148" authorId="1" shapeId="0">
      <text>
        <r>
          <rPr>
            <sz val="11"/>
            <color theme="1"/>
            <rFont val="Calibri"/>
            <family val="2"/>
            <scheme val="minor"/>
          </rPr>
          <t>Seleccione un valor de la lista</t>
        </r>
      </text>
    </comment>
    <comment ref="D148" authorId="1" shapeId="0">
      <text>
        <r>
          <rPr>
            <sz val="11"/>
            <color theme="1"/>
            <rFont val="Calibri"/>
            <family val="2"/>
            <scheme val="minor"/>
          </rPr>
          <t>Introduzca un número con dos decimales como máximo. Debe ser igual o mayor a la "Cantidad Real Consumida"</t>
        </r>
      </text>
    </comment>
    <comment ref="E148" authorId="1" shapeId="0">
      <text>
        <r>
          <rPr>
            <sz val="11"/>
            <color theme="1"/>
            <rFont val="Calibri"/>
            <family val="2"/>
            <scheme val="minor"/>
          </rPr>
          <t>Introduzca un número con dos decimales como máximo</t>
        </r>
      </text>
    </comment>
    <comment ref="F148" authorId="1" shapeId="0">
      <text>
        <r>
          <rPr>
            <sz val="11"/>
            <color theme="1"/>
            <rFont val="Calibri"/>
            <family val="2"/>
            <scheme val="minor"/>
          </rPr>
          <t>Monto calculado automáticamente por el sistema</t>
        </r>
      </text>
    </comment>
    <comment ref="A153" authorId="1" shapeId="0">
      <text>
        <r>
          <rPr>
            <sz val="11"/>
            <color theme="1"/>
            <rFont val="Calibri"/>
            <family val="2"/>
            <scheme val="minor"/>
          </rPr>
          <t>Introducir un texto con el nombre o referencia de la contratación</t>
        </r>
      </text>
    </comment>
    <comment ref="B153" authorId="1" shapeId="0">
      <text>
        <r>
          <rPr>
            <sz val="11"/>
            <color theme="1"/>
            <rFont val="Calibri"/>
            <family val="2"/>
            <scheme val="minor"/>
          </rPr>
          <t>Introduzca un texto con la finalidad de la contratación</t>
        </r>
      </text>
    </comment>
    <comment ref="C153" authorId="1" shapeId="0">
      <text>
        <r>
          <rPr>
            <sz val="11"/>
            <color theme="1"/>
            <rFont val="Calibri"/>
            <family val="2"/>
            <scheme val="minor"/>
          </rPr>
          <t>Seleccionar un valor del listado</t>
        </r>
      </text>
    </comment>
    <comment ref="D153" authorId="1" shapeId="0">
      <text>
        <r>
          <rPr>
            <sz val="11"/>
            <color theme="1"/>
            <rFont val="Calibri"/>
            <family val="2"/>
            <scheme val="minor"/>
          </rPr>
          <t>Seleccione el tipo de procedimiento</t>
        </r>
      </text>
    </comment>
    <comment ref="E153" authorId="1" shapeId="0">
      <text>
        <r>
          <rPr>
            <sz val="11"/>
            <color theme="1"/>
            <rFont val="Calibri"/>
            <family val="2"/>
            <scheme val="minor"/>
          </rPr>
          <t>Seleccione un valor de la lista</t>
        </r>
      </text>
    </comment>
    <comment ref="F153" authorId="1" shapeId="0">
      <text>
        <r>
          <rPr>
            <sz val="11"/>
            <color theme="1"/>
            <rFont val="Calibri"/>
            <family val="2"/>
            <scheme val="minor"/>
          </rPr>
          <t>Introduzca el código SNIP</t>
        </r>
      </text>
    </comment>
    <comment ref="C154" authorId="1" shapeId="0">
      <text>
        <r>
          <rPr>
            <sz val="11"/>
            <color theme="1"/>
            <rFont val="Calibri"/>
            <family val="2"/>
            <scheme val="minor"/>
          </rPr>
          <t>Introduzca la fecha de inicio del proceso, en formato dd-mm-aaaa</t>
        </r>
      </text>
    </comment>
    <comment ref="F1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shapeId="0">
      <text/>
    </comment>
    <comment ref="C156" authorId="1" shapeId="0">
      <text>
        <r>
          <rPr>
            <sz val="11"/>
            <color theme="1"/>
            <rFont val="Calibri"/>
            <family val="2"/>
            <scheme val="minor"/>
          </rPr>
          <t>Introduzca la fecha prevista de adjudicación, en formato dd-mm-aaaa</t>
        </r>
      </text>
    </comment>
    <comment ref="F156" authorId="1" shapeId="0">
      <text/>
    </comment>
    <comment ref="F157" authorId="1" shapeId="0">
      <text/>
    </comment>
    <comment ref="A159" authorId="1" shapeId="0">
      <text>
        <r>
          <rPr>
            <sz val="11"/>
            <color theme="1"/>
            <rFont val="Calibri"/>
            <family val="2"/>
            <scheme val="minor"/>
          </rPr>
          <t>Introduzca un codigo UNSPSC</t>
        </r>
      </text>
    </comment>
    <comment ref="B159" authorId="1" shapeId="0">
      <text>
        <r>
          <rPr>
            <sz val="11"/>
            <color theme="1"/>
            <rFont val="Calibri"/>
            <family val="2"/>
            <scheme val="minor"/>
          </rPr>
          <t>Descripción calculada automáticamente a partir de código del artículo</t>
        </r>
      </text>
    </comment>
    <comment ref="C159" authorId="1" shapeId="0">
      <text>
        <r>
          <rPr>
            <sz val="11"/>
            <color theme="1"/>
            <rFont val="Calibri"/>
            <family val="2"/>
            <scheme val="minor"/>
          </rPr>
          <t>Seleccione un valor de la lista</t>
        </r>
      </text>
    </comment>
    <comment ref="D159" authorId="1" shapeId="0">
      <text>
        <r>
          <rPr>
            <sz val="11"/>
            <color theme="1"/>
            <rFont val="Calibri"/>
            <family val="2"/>
            <scheme val="minor"/>
          </rPr>
          <t>Introduzca un número con dos decimales como máximo. Debe ser igual o mayor a la "Cantidad Real Consumida"</t>
        </r>
      </text>
    </comment>
    <comment ref="E159" authorId="1" shapeId="0">
      <text>
        <r>
          <rPr>
            <sz val="11"/>
            <color theme="1"/>
            <rFont val="Calibri"/>
            <family val="2"/>
            <scheme val="minor"/>
          </rPr>
          <t>Introduzca un número con dos decimales como máximo</t>
        </r>
      </text>
    </comment>
    <comment ref="F159" authorId="1" shapeId="0">
      <text>
        <r>
          <rPr>
            <sz val="11"/>
            <color theme="1"/>
            <rFont val="Calibri"/>
            <family val="2"/>
            <scheme val="minor"/>
          </rPr>
          <t>Monto calculado automáticamente por el sistema</t>
        </r>
      </text>
    </comment>
    <comment ref="A164" authorId="1" shapeId="0">
      <text>
        <r>
          <rPr>
            <sz val="11"/>
            <color theme="1"/>
            <rFont val="Calibri"/>
            <family val="2"/>
            <scheme val="minor"/>
          </rPr>
          <t>Introducir un texto con el nombre o referencia de la contratación</t>
        </r>
      </text>
    </comment>
    <comment ref="B164" authorId="1" shapeId="0">
      <text>
        <r>
          <rPr>
            <sz val="11"/>
            <color theme="1"/>
            <rFont val="Calibri"/>
            <family val="2"/>
            <scheme val="minor"/>
          </rPr>
          <t>Introduzca un texto con la finalidad de la contratación</t>
        </r>
      </text>
    </comment>
    <comment ref="C164" authorId="1" shapeId="0">
      <text>
        <r>
          <rPr>
            <sz val="11"/>
            <color theme="1"/>
            <rFont val="Calibri"/>
            <family val="2"/>
            <scheme val="minor"/>
          </rPr>
          <t>Seleccionar un valor del listado</t>
        </r>
      </text>
    </comment>
    <comment ref="D164" authorId="1" shapeId="0">
      <text>
        <r>
          <rPr>
            <sz val="11"/>
            <color theme="1"/>
            <rFont val="Calibri"/>
            <family val="2"/>
            <scheme val="minor"/>
          </rPr>
          <t>Seleccione el tipo de procedimiento</t>
        </r>
      </text>
    </comment>
    <comment ref="E164" authorId="1" shapeId="0">
      <text>
        <r>
          <rPr>
            <sz val="11"/>
            <color theme="1"/>
            <rFont val="Calibri"/>
            <family val="2"/>
            <scheme val="minor"/>
          </rPr>
          <t>Seleccione un valor de la lista</t>
        </r>
      </text>
    </comment>
    <comment ref="F164" authorId="1" shapeId="0">
      <text>
        <r>
          <rPr>
            <sz val="11"/>
            <color theme="1"/>
            <rFont val="Calibri"/>
            <family val="2"/>
            <scheme val="minor"/>
          </rPr>
          <t>Introduzca el código SNIP</t>
        </r>
      </text>
    </comment>
    <comment ref="C165" authorId="1" shapeId="0">
      <text>
        <r>
          <rPr>
            <sz val="11"/>
            <color theme="1"/>
            <rFont val="Calibri"/>
            <family val="2"/>
            <scheme val="minor"/>
          </rPr>
          <t>Introduzca la fecha de inicio del proceso, en formato dd-mm-aaaa</t>
        </r>
      </text>
    </comment>
    <comment ref="F1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shapeId="0">
      <text/>
    </comment>
    <comment ref="C167" authorId="1" shapeId="0">
      <text>
        <r>
          <rPr>
            <sz val="11"/>
            <color theme="1"/>
            <rFont val="Calibri"/>
            <family val="2"/>
            <scheme val="minor"/>
          </rPr>
          <t>Introduzca la fecha prevista de adjudicación, en formato dd-mm-aaaa</t>
        </r>
      </text>
    </comment>
    <comment ref="F167" authorId="1" shapeId="0">
      <text/>
    </comment>
    <comment ref="F168" authorId="1" shapeId="0">
      <text/>
    </comment>
    <comment ref="A170" authorId="1" shapeId="0">
      <text>
        <r>
          <rPr>
            <sz val="11"/>
            <color theme="1"/>
            <rFont val="Calibri"/>
            <family val="2"/>
            <scheme val="minor"/>
          </rPr>
          <t>Introduzca un codigo UNSPSC</t>
        </r>
      </text>
    </comment>
    <comment ref="B170" authorId="1" shapeId="0">
      <text>
        <r>
          <rPr>
            <sz val="11"/>
            <color theme="1"/>
            <rFont val="Calibri"/>
            <family val="2"/>
            <scheme val="minor"/>
          </rPr>
          <t>Descripción calculada automáticamente a partir de código del artículo</t>
        </r>
      </text>
    </comment>
    <comment ref="C170" authorId="1" shapeId="0">
      <text>
        <r>
          <rPr>
            <sz val="11"/>
            <color theme="1"/>
            <rFont val="Calibri"/>
            <family val="2"/>
            <scheme val="minor"/>
          </rPr>
          <t>Seleccione un valor de la lista</t>
        </r>
      </text>
    </comment>
    <comment ref="D170" authorId="1" shapeId="0">
      <text>
        <r>
          <rPr>
            <sz val="11"/>
            <color theme="1"/>
            <rFont val="Calibri"/>
            <family val="2"/>
            <scheme val="minor"/>
          </rPr>
          <t>Introduzca un número con dos decimales como máximo. Debe ser igual o mayor a la "Cantidad Real Consumida"</t>
        </r>
      </text>
    </comment>
    <comment ref="E170" authorId="1" shapeId="0">
      <text>
        <r>
          <rPr>
            <sz val="11"/>
            <color theme="1"/>
            <rFont val="Calibri"/>
            <family val="2"/>
            <scheme val="minor"/>
          </rPr>
          <t>Introduzca un número con dos decimales como máximo</t>
        </r>
      </text>
    </comment>
    <comment ref="F170" authorId="1" shapeId="0">
      <text>
        <r>
          <rPr>
            <sz val="11"/>
            <color theme="1"/>
            <rFont val="Calibri"/>
            <family val="2"/>
            <scheme val="minor"/>
          </rPr>
          <t>Monto calculado automáticamente por el sistema</t>
        </r>
      </text>
    </comment>
    <comment ref="A179" authorId="1" shapeId="0">
      <text>
        <r>
          <rPr>
            <sz val="11"/>
            <color theme="1"/>
            <rFont val="Calibri"/>
            <family val="2"/>
            <scheme val="minor"/>
          </rPr>
          <t>Introducir un texto con el nombre o referencia de la contratación</t>
        </r>
      </text>
    </comment>
    <comment ref="B179" authorId="1" shapeId="0">
      <text>
        <r>
          <rPr>
            <sz val="11"/>
            <color theme="1"/>
            <rFont val="Calibri"/>
            <family val="2"/>
            <scheme val="minor"/>
          </rPr>
          <t>Introduzca un texto con la finalidad de la contratación</t>
        </r>
      </text>
    </comment>
    <comment ref="C179" authorId="1" shapeId="0">
      <text>
        <r>
          <rPr>
            <sz val="11"/>
            <color theme="1"/>
            <rFont val="Calibri"/>
            <family val="2"/>
            <scheme val="minor"/>
          </rPr>
          <t>Seleccionar un valor del listado</t>
        </r>
      </text>
    </comment>
    <comment ref="D179" authorId="1" shapeId="0">
      <text>
        <r>
          <rPr>
            <sz val="11"/>
            <color theme="1"/>
            <rFont val="Calibri"/>
            <family val="2"/>
            <scheme val="minor"/>
          </rPr>
          <t>Seleccione el tipo de procedimiento</t>
        </r>
      </text>
    </comment>
    <comment ref="E179" authorId="1" shapeId="0">
      <text>
        <r>
          <rPr>
            <sz val="11"/>
            <color theme="1"/>
            <rFont val="Calibri"/>
            <family val="2"/>
            <scheme val="minor"/>
          </rPr>
          <t>Seleccione un valor de la lista</t>
        </r>
      </text>
    </comment>
    <comment ref="F179" authorId="1" shapeId="0">
      <text>
        <r>
          <rPr>
            <sz val="11"/>
            <color theme="1"/>
            <rFont val="Calibri"/>
            <family val="2"/>
            <scheme val="minor"/>
          </rPr>
          <t>Introduzca el código SNIP</t>
        </r>
      </text>
    </comment>
    <comment ref="C180" authorId="1" shapeId="0">
      <text>
        <r>
          <rPr>
            <sz val="11"/>
            <color theme="1"/>
            <rFont val="Calibri"/>
            <family val="2"/>
            <scheme val="minor"/>
          </rPr>
          <t>Introduzca la fecha de inicio del proceso, en formato dd-mm-aaaa</t>
        </r>
      </text>
    </comment>
    <comment ref="F1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text/>
    </comment>
    <comment ref="C182" authorId="1" shapeId="0">
      <text>
        <r>
          <rPr>
            <sz val="11"/>
            <color theme="1"/>
            <rFont val="Calibri"/>
            <family val="2"/>
            <scheme val="minor"/>
          </rPr>
          <t>Introduzca la fecha prevista de adjudicación, en formato dd-mm-aaaa</t>
        </r>
      </text>
    </comment>
    <comment ref="F182" authorId="1" shapeId="0">
      <text/>
    </comment>
    <comment ref="F183" authorId="1" shapeId="0">
      <text/>
    </comment>
    <comment ref="A185" authorId="1" shapeId="0">
      <text>
        <r>
          <rPr>
            <sz val="11"/>
            <color theme="1"/>
            <rFont val="Calibri"/>
            <family val="2"/>
            <scheme val="minor"/>
          </rPr>
          <t>Introduzca un codigo UNSPSC</t>
        </r>
      </text>
    </comment>
    <comment ref="B185" authorId="1" shapeId="0">
      <text>
        <r>
          <rPr>
            <sz val="11"/>
            <color theme="1"/>
            <rFont val="Calibri"/>
            <family val="2"/>
            <scheme val="minor"/>
          </rPr>
          <t>Descripción calculada automáticamente a partir de código del artículo</t>
        </r>
      </text>
    </comment>
    <comment ref="C185" authorId="1" shapeId="0">
      <text>
        <r>
          <rPr>
            <sz val="11"/>
            <color theme="1"/>
            <rFont val="Calibri"/>
            <family val="2"/>
            <scheme val="minor"/>
          </rPr>
          <t>Seleccione un valor de la lista</t>
        </r>
      </text>
    </comment>
    <comment ref="D185" authorId="1" shapeId="0">
      <text>
        <r>
          <rPr>
            <sz val="11"/>
            <color theme="1"/>
            <rFont val="Calibri"/>
            <family val="2"/>
            <scheme val="minor"/>
          </rPr>
          <t>Introduzca un número con dos decimales como máximo. Debe ser igual o mayor a la "Cantidad Real Consumida"</t>
        </r>
      </text>
    </comment>
    <comment ref="E185" authorId="1" shapeId="0">
      <text>
        <r>
          <rPr>
            <sz val="11"/>
            <color theme="1"/>
            <rFont val="Calibri"/>
            <family val="2"/>
            <scheme val="minor"/>
          </rPr>
          <t>Introduzca un número con dos decimales como máximo</t>
        </r>
      </text>
    </comment>
    <comment ref="F185" authorId="1" shapeId="0">
      <text>
        <r>
          <rPr>
            <sz val="11"/>
            <color theme="1"/>
            <rFont val="Calibri"/>
            <family val="2"/>
            <scheme val="minor"/>
          </rPr>
          <t>Monto calculado automáticamente por el sistema</t>
        </r>
      </text>
    </comment>
    <comment ref="A190" authorId="1" shapeId="0">
      <text>
        <r>
          <rPr>
            <sz val="11"/>
            <color theme="1"/>
            <rFont val="Calibri"/>
            <family val="2"/>
            <scheme val="minor"/>
          </rPr>
          <t>Introducir un texto con el nombre o referencia de la contratación</t>
        </r>
      </text>
    </comment>
    <comment ref="B190" authorId="1" shapeId="0">
      <text>
        <r>
          <rPr>
            <sz val="11"/>
            <color theme="1"/>
            <rFont val="Calibri"/>
            <family val="2"/>
            <scheme val="minor"/>
          </rPr>
          <t>Introduzca un texto con la finalidad de la contratación</t>
        </r>
      </text>
    </comment>
    <comment ref="C190" authorId="1" shapeId="0">
      <text>
        <r>
          <rPr>
            <sz val="11"/>
            <color theme="1"/>
            <rFont val="Calibri"/>
            <family val="2"/>
            <scheme val="minor"/>
          </rPr>
          <t>Seleccionar un valor del listado</t>
        </r>
      </text>
    </comment>
    <comment ref="D190" authorId="1" shapeId="0">
      <text>
        <r>
          <rPr>
            <sz val="11"/>
            <color theme="1"/>
            <rFont val="Calibri"/>
            <family val="2"/>
            <scheme val="minor"/>
          </rPr>
          <t>Seleccione el tipo de procedimiento</t>
        </r>
      </text>
    </comment>
    <comment ref="E190" authorId="1" shapeId="0">
      <text>
        <r>
          <rPr>
            <sz val="11"/>
            <color theme="1"/>
            <rFont val="Calibri"/>
            <family val="2"/>
            <scheme val="minor"/>
          </rPr>
          <t>Seleccione un valor de la lista</t>
        </r>
      </text>
    </comment>
    <comment ref="F190" authorId="1" shapeId="0">
      <text>
        <r>
          <rPr>
            <sz val="11"/>
            <color theme="1"/>
            <rFont val="Calibri"/>
            <family val="2"/>
            <scheme val="minor"/>
          </rPr>
          <t>Introduzca el código SNIP</t>
        </r>
      </text>
    </comment>
    <comment ref="C191" authorId="1" shapeId="0">
      <text>
        <r>
          <rPr>
            <sz val="11"/>
            <color theme="1"/>
            <rFont val="Calibri"/>
            <family val="2"/>
            <scheme val="minor"/>
          </rPr>
          <t>Introduzca la fecha de inicio del proceso, en formato dd-mm-aaaa</t>
        </r>
      </text>
    </comment>
    <comment ref="F1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text/>
    </comment>
    <comment ref="C193" authorId="1" shapeId="0">
      <text>
        <r>
          <rPr>
            <sz val="11"/>
            <color theme="1"/>
            <rFont val="Calibri"/>
            <family val="2"/>
            <scheme val="minor"/>
          </rPr>
          <t>Introduzca la fecha prevista de adjudicación, en formato dd-mm-aaaa</t>
        </r>
      </text>
    </comment>
    <comment ref="F193" authorId="1" shapeId="0">
      <text/>
    </comment>
    <comment ref="F194" authorId="1" shapeId="0">
      <text/>
    </comment>
    <comment ref="A196" authorId="1" shapeId="0">
      <text>
        <r>
          <rPr>
            <sz val="11"/>
            <color theme="1"/>
            <rFont val="Calibri"/>
            <family val="2"/>
            <scheme val="minor"/>
          </rPr>
          <t>Introduzca un codigo UNSPSC</t>
        </r>
      </text>
    </comment>
    <comment ref="B196" authorId="1" shapeId="0">
      <text>
        <r>
          <rPr>
            <sz val="11"/>
            <color theme="1"/>
            <rFont val="Calibri"/>
            <family val="2"/>
            <scheme val="minor"/>
          </rPr>
          <t>Descripción calculada automáticamente a partir de código del artículo</t>
        </r>
      </text>
    </comment>
    <comment ref="C196" authorId="1" shapeId="0">
      <text>
        <r>
          <rPr>
            <sz val="11"/>
            <color theme="1"/>
            <rFont val="Calibri"/>
            <family val="2"/>
            <scheme val="minor"/>
          </rPr>
          <t>Seleccione un valor de la lista</t>
        </r>
      </text>
    </comment>
    <comment ref="D196" authorId="1" shapeId="0">
      <text>
        <r>
          <rPr>
            <sz val="11"/>
            <color theme="1"/>
            <rFont val="Calibri"/>
            <family val="2"/>
            <scheme val="minor"/>
          </rPr>
          <t>Introduzca un número con dos decimales como máximo. Debe ser igual o mayor a la "Cantidad Real Consumida"</t>
        </r>
      </text>
    </comment>
    <comment ref="E196" authorId="1" shapeId="0">
      <text>
        <r>
          <rPr>
            <sz val="11"/>
            <color theme="1"/>
            <rFont val="Calibri"/>
            <family val="2"/>
            <scheme val="minor"/>
          </rPr>
          <t>Introduzca un número con dos decimales como máximo</t>
        </r>
      </text>
    </comment>
    <comment ref="F196" authorId="1" shapeId="0">
      <text>
        <r>
          <rPr>
            <sz val="11"/>
            <color theme="1"/>
            <rFont val="Calibri"/>
            <family val="2"/>
            <scheme val="minor"/>
          </rPr>
          <t>Monto calculado automáticamente por el sistema</t>
        </r>
      </text>
    </comment>
    <comment ref="A201" authorId="1" shapeId="0">
      <text>
        <r>
          <rPr>
            <sz val="11"/>
            <color theme="1"/>
            <rFont val="Calibri"/>
            <family val="2"/>
            <scheme val="minor"/>
          </rPr>
          <t>Introducir un texto con el nombre o referencia de la contratación</t>
        </r>
      </text>
    </comment>
    <comment ref="B201" authorId="1" shapeId="0">
      <text>
        <r>
          <rPr>
            <sz val="11"/>
            <color theme="1"/>
            <rFont val="Calibri"/>
            <family val="2"/>
            <scheme val="minor"/>
          </rPr>
          <t>Introduzca un texto con la finalidad de la contratación</t>
        </r>
      </text>
    </comment>
    <comment ref="C201" authorId="1" shapeId="0">
      <text>
        <r>
          <rPr>
            <sz val="11"/>
            <color theme="1"/>
            <rFont val="Calibri"/>
            <family val="2"/>
            <scheme val="minor"/>
          </rPr>
          <t>Seleccionar un valor del listado</t>
        </r>
      </text>
    </comment>
    <comment ref="D201" authorId="1" shapeId="0">
      <text>
        <r>
          <rPr>
            <sz val="11"/>
            <color theme="1"/>
            <rFont val="Calibri"/>
            <family val="2"/>
            <scheme val="minor"/>
          </rPr>
          <t>Seleccione el tipo de procedimiento</t>
        </r>
      </text>
    </comment>
    <comment ref="E201" authorId="1" shapeId="0">
      <text>
        <r>
          <rPr>
            <sz val="11"/>
            <color theme="1"/>
            <rFont val="Calibri"/>
            <family val="2"/>
            <scheme val="minor"/>
          </rPr>
          <t>Seleccione un valor de la lista</t>
        </r>
      </text>
    </comment>
    <comment ref="F201" authorId="1" shapeId="0">
      <text>
        <r>
          <rPr>
            <sz val="11"/>
            <color theme="1"/>
            <rFont val="Calibri"/>
            <family val="2"/>
            <scheme val="minor"/>
          </rPr>
          <t>Introduzca el código SNIP</t>
        </r>
      </text>
    </comment>
    <comment ref="C202" authorId="1" shapeId="0">
      <text>
        <r>
          <rPr>
            <sz val="11"/>
            <color theme="1"/>
            <rFont val="Calibri"/>
            <family val="2"/>
            <scheme val="minor"/>
          </rPr>
          <t>Introduzca la fecha de inicio del proceso, en formato dd-mm-aaaa</t>
        </r>
      </text>
    </comment>
    <comment ref="F2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text/>
    </comment>
    <comment ref="C204" authorId="1" shapeId="0">
      <text>
        <r>
          <rPr>
            <sz val="11"/>
            <color theme="1"/>
            <rFont val="Calibri"/>
            <family val="2"/>
            <scheme val="minor"/>
          </rPr>
          <t>Introduzca la fecha prevista de adjudicación, en formato dd-mm-aaaa</t>
        </r>
      </text>
    </comment>
    <comment ref="F204" authorId="1" shapeId="0">
      <text/>
    </comment>
    <comment ref="F205" authorId="1" shapeId="0">
      <text/>
    </comment>
    <comment ref="A207" authorId="1" shapeId="0">
      <text>
        <r>
          <rPr>
            <sz val="11"/>
            <color theme="1"/>
            <rFont val="Calibri"/>
            <family val="2"/>
            <scheme val="minor"/>
          </rPr>
          <t>Introduzca un codigo UNSPSC</t>
        </r>
      </text>
    </comment>
    <comment ref="B207" authorId="1" shapeId="0">
      <text>
        <r>
          <rPr>
            <sz val="11"/>
            <color theme="1"/>
            <rFont val="Calibri"/>
            <family val="2"/>
            <scheme val="minor"/>
          </rPr>
          <t>Descripción calculada automáticamente a partir de código del artículo</t>
        </r>
      </text>
    </comment>
    <comment ref="C207" authorId="1" shapeId="0">
      <text>
        <r>
          <rPr>
            <sz val="11"/>
            <color theme="1"/>
            <rFont val="Calibri"/>
            <family val="2"/>
            <scheme val="minor"/>
          </rPr>
          <t>Seleccione un valor de la lista</t>
        </r>
      </text>
    </comment>
    <comment ref="D207" authorId="1" shapeId="0">
      <text>
        <r>
          <rPr>
            <sz val="11"/>
            <color theme="1"/>
            <rFont val="Calibri"/>
            <family val="2"/>
            <scheme val="minor"/>
          </rPr>
          <t>Introduzca un número con dos decimales como máximo. Debe ser igual o mayor a la "Cantidad Real Consumida"</t>
        </r>
      </text>
    </comment>
    <comment ref="E207" authorId="1" shapeId="0">
      <text>
        <r>
          <rPr>
            <sz val="11"/>
            <color theme="1"/>
            <rFont val="Calibri"/>
            <family val="2"/>
            <scheme val="minor"/>
          </rPr>
          <t>Introduzca un número con dos decimales como máximo</t>
        </r>
      </text>
    </comment>
    <comment ref="F207" authorId="1" shapeId="0">
      <text>
        <r>
          <rPr>
            <sz val="11"/>
            <color theme="1"/>
            <rFont val="Calibri"/>
            <family val="2"/>
            <scheme val="minor"/>
          </rPr>
          <t>Monto calculado automáticamente por el sistema</t>
        </r>
      </text>
    </comment>
    <comment ref="A212" authorId="1" shapeId="0">
      <text>
        <r>
          <rPr>
            <sz val="11"/>
            <color theme="1"/>
            <rFont val="Calibri"/>
            <family val="2"/>
            <scheme val="minor"/>
          </rPr>
          <t>Introducir un texto con el nombre o referencia de la contratación</t>
        </r>
      </text>
    </comment>
    <comment ref="B212" authorId="1" shapeId="0">
      <text>
        <r>
          <rPr>
            <sz val="11"/>
            <color theme="1"/>
            <rFont val="Calibri"/>
            <family val="2"/>
            <scheme val="minor"/>
          </rPr>
          <t>Introduzca un texto con la finalidad de la contratación</t>
        </r>
      </text>
    </comment>
    <comment ref="C212" authorId="1" shapeId="0">
      <text>
        <r>
          <rPr>
            <sz val="11"/>
            <color theme="1"/>
            <rFont val="Calibri"/>
            <family val="2"/>
            <scheme val="minor"/>
          </rPr>
          <t>Seleccionar un valor del listado</t>
        </r>
      </text>
    </comment>
    <comment ref="D212" authorId="1" shapeId="0">
      <text>
        <r>
          <rPr>
            <sz val="11"/>
            <color theme="1"/>
            <rFont val="Calibri"/>
            <family val="2"/>
            <scheme val="minor"/>
          </rPr>
          <t>Seleccione el tipo de procedimiento</t>
        </r>
      </text>
    </comment>
    <comment ref="E212" authorId="1" shapeId="0">
      <text>
        <r>
          <rPr>
            <sz val="11"/>
            <color theme="1"/>
            <rFont val="Calibri"/>
            <family val="2"/>
            <scheme val="minor"/>
          </rPr>
          <t>Seleccione un valor de la lista</t>
        </r>
      </text>
    </comment>
    <comment ref="F212" authorId="1" shapeId="0">
      <text>
        <r>
          <rPr>
            <sz val="11"/>
            <color theme="1"/>
            <rFont val="Calibri"/>
            <family val="2"/>
            <scheme val="minor"/>
          </rPr>
          <t>Introduzca el código SNIP</t>
        </r>
      </text>
    </comment>
    <comment ref="C213" authorId="1" shapeId="0">
      <text>
        <r>
          <rPr>
            <sz val="11"/>
            <color theme="1"/>
            <rFont val="Calibri"/>
            <family val="2"/>
            <scheme val="minor"/>
          </rPr>
          <t>Introduzca la fecha de inicio del proceso, en formato dd-mm-aaaa</t>
        </r>
      </text>
    </comment>
    <comment ref="F2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text/>
    </comment>
    <comment ref="C215" authorId="1" shapeId="0">
      <text>
        <r>
          <rPr>
            <sz val="11"/>
            <color theme="1"/>
            <rFont val="Calibri"/>
            <family val="2"/>
            <scheme val="minor"/>
          </rPr>
          <t>Introduzca la fecha prevista de adjudicación, en formato dd-mm-aaaa</t>
        </r>
      </text>
    </comment>
    <comment ref="F215" authorId="1" shapeId="0">
      <text/>
    </comment>
    <comment ref="F216" authorId="1" shapeId="0">
      <text/>
    </comment>
    <comment ref="A218" authorId="1" shapeId="0">
      <text>
        <r>
          <rPr>
            <sz val="11"/>
            <color theme="1"/>
            <rFont val="Calibri"/>
            <family val="2"/>
            <scheme val="minor"/>
          </rPr>
          <t>Introduzca un codigo UNSPSC</t>
        </r>
      </text>
    </comment>
    <comment ref="B218" authorId="1" shapeId="0">
      <text>
        <r>
          <rPr>
            <sz val="11"/>
            <color theme="1"/>
            <rFont val="Calibri"/>
            <family val="2"/>
            <scheme val="minor"/>
          </rPr>
          <t>Descripción calculada automáticamente a partir de código del artículo</t>
        </r>
      </text>
    </comment>
    <comment ref="C218" authorId="1" shapeId="0">
      <text>
        <r>
          <rPr>
            <sz val="11"/>
            <color theme="1"/>
            <rFont val="Calibri"/>
            <family val="2"/>
            <scheme val="minor"/>
          </rPr>
          <t>Seleccione un valor de la lista</t>
        </r>
      </text>
    </comment>
    <comment ref="D218" authorId="1" shapeId="0">
      <text>
        <r>
          <rPr>
            <sz val="11"/>
            <color theme="1"/>
            <rFont val="Calibri"/>
            <family val="2"/>
            <scheme val="minor"/>
          </rPr>
          <t>Introduzca un número con dos decimales como máximo. Debe ser igual o mayor a la "Cantidad Real Consumida"</t>
        </r>
      </text>
    </comment>
    <comment ref="E218" authorId="1" shapeId="0">
      <text>
        <r>
          <rPr>
            <sz val="11"/>
            <color theme="1"/>
            <rFont val="Calibri"/>
            <family val="2"/>
            <scheme val="minor"/>
          </rPr>
          <t>Introduzca un número con dos decimales como máximo</t>
        </r>
      </text>
    </comment>
    <comment ref="F218" authorId="1" shapeId="0">
      <text>
        <r>
          <rPr>
            <sz val="11"/>
            <color theme="1"/>
            <rFont val="Calibri"/>
            <family val="2"/>
            <scheme val="minor"/>
          </rPr>
          <t>Monto calculado automáticamente por el sistema</t>
        </r>
      </text>
    </comment>
    <comment ref="A223" authorId="1" shapeId="0">
      <text>
        <r>
          <rPr>
            <sz val="11"/>
            <color theme="1"/>
            <rFont val="Calibri"/>
            <family val="2"/>
            <scheme val="minor"/>
          </rPr>
          <t>Introducir un texto con el nombre o referencia de la contratación</t>
        </r>
      </text>
    </comment>
    <comment ref="B223" authorId="1" shapeId="0">
      <text>
        <r>
          <rPr>
            <sz val="11"/>
            <color theme="1"/>
            <rFont val="Calibri"/>
            <family val="2"/>
            <scheme val="minor"/>
          </rPr>
          <t>Introduzca un texto con la finalidad de la contratación</t>
        </r>
      </text>
    </comment>
    <comment ref="C223" authorId="1" shapeId="0">
      <text>
        <r>
          <rPr>
            <sz val="11"/>
            <color theme="1"/>
            <rFont val="Calibri"/>
            <family val="2"/>
            <scheme val="minor"/>
          </rPr>
          <t>Seleccionar un valor del listado</t>
        </r>
      </text>
    </comment>
    <comment ref="D223" authorId="1" shapeId="0">
      <text>
        <r>
          <rPr>
            <sz val="11"/>
            <color theme="1"/>
            <rFont val="Calibri"/>
            <family val="2"/>
            <scheme val="minor"/>
          </rPr>
          <t>Seleccione el tipo de procedimiento</t>
        </r>
      </text>
    </comment>
    <comment ref="E223" authorId="1" shapeId="0">
      <text>
        <r>
          <rPr>
            <sz val="11"/>
            <color theme="1"/>
            <rFont val="Calibri"/>
            <family val="2"/>
            <scheme val="minor"/>
          </rPr>
          <t>Seleccione un valor de la lista</t>
        </r>
      </text>
    </comment>
    <comment ref="F223" authorId="1" shapeId="0">
      <text>
        <r>
          <rPr>
            <sz val="11"/>
            <color theme="1"/>
            <rFont val="Calibri"/>
            <family val="2"/>
            <scheme val="minor"/>
          </rPr>
          <t>Introduzca el código SNIP</t>
        </r>
      </text>
    </comment>
    <comment ref="C224" authorId="1" shapeId="0">
      <text>
        <r>
          <rPr>
            <sz val="11"/>
            <color theme="1"/>
            <rFont val="Calibri"/>
            <family val="2"/>
            <scheme val="minor"/>
          </rPr>
          <t>Introduzca la fecha de inicio del proceso, en formato dd-mm-aaaa</t>
        </r>
      </text>
    </comment>
    <comment ref="F2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text/>
    </comment>
    <comment ref="C226" authorId="1" shapeId="0">
      <text>
        <r>
          <rPr>
            <sz val="11"/>
            <color theme="1"/>
            <rFont val="Calibri"/>
            <family val="2"/>
            <scheme val="minor"/>
          </rPr>
          <t>Introduzca la fecha prevista de adjudicación, en formato dd-mm-aaaa</t>
        </r>
      </text>
    </comment>
    <comment ref="F226" authorId="1" shapeId="0">
      <text/>
    </comment>
    <comment ref="F227" authorId="1" shapeId="0">
      <text/>
    </comment>
    <comment ref="A229" authorId="1" shapeId="0">
      <text>
        <r>
          <rPr>
            <sz val="11"/>
            <color theme="1"/>
            <rFont val="Calibri"/>
            <family val="2"/>
            <scheme val="minor"/>
          </rPr>
          <t>Introduzca un codigo UNSPSC</t>
        </r>
      </text>
    </comment>
    <comment ref="B229" authorId="1" shapeId="0">
      <text>
        <r>
          <rPr>
            <sz val="11"/>
            <color theme="1"/>
            <rFont val="Calibri"/>
            <family val="2"/>
            <scheme val="minor"/>
          </rPr>
          <t>Descripción calculada automáticamente a partir de código del artículo</t>
        </r>
      </text>
    </comment>
    <comment ref="C229" authorId="1" shapeId="0">
      <text>
        <r>
          <rPr>
            <sz val="11"/>
            <color theme="1"/>
            <rFont val="Calibri"/>
            <family val="2"/>
            <scheme val="minor"/>
          </rPr>
          <t>Seleccione un valor de la lista</t>
        </r>
      </text>
    </comment>
    <comment ref="D229" authorId="1" shapeId="0">
      <text>
        <r>
          <rPr>
            <sz val="11"/>
            <color theme="1"/>
            <rFont val="Calibri"/>
            <family val="2"/>
            <scheme val="minor"/>
          </rPr>
          <t>Introduzca un número con dos decimales como máximo. Debe ser igual o mayor a la "Cantidad Real Consumida"</t>
        </r>
      </text>
    </comment>
    <comment ref="E229" authorId="1" shapeId="0">
      <text>
        <r>
          <rPr>
            <sz val="11"/>
            <color theme="1"/>
            <rFont val="Calibri"/>
            <family val="2"/>
            <scheme val="minor"/>
          </rPr>
          <t>Introduzca un número con dos decimales como máximo</t>
        </r>
      </text>
    </comment>
    <comment ref="F229" authorId="1" shapeId="0">
      <text>
        <r>
          <rPr>
            <sz val="11"/>
            <color theme="1"/>
            <rFont val="Calibri"/>
            <family val="2"/>
            <scheme val="minor"/>
          </rPr>
          <t>Monto calculado automáticamente por el sistema</t>
        </r>
      </text>
    </comment>
    <comment ref="A234" authorId="1" shapeId="0">
      <text>
        <r>
          <rPr>
            <sz val="11"/>
            <color theme="1"/>
            <rFont val="Calibri"/>
            <family val="2"/>
            <scheme val="minor"/>
          </rPr>
          <t>Introducir un texto con el nombre o referencia de la contratación</t>
        </r>
      </text>
    </comment>
    <comment ref="B234" authorId="1" shapeId="0">
      <text>
        <r>
          <rPr>
            <sz val="11"/>
            <color theme="1"/>
            <rFont val="Calibri"/>
            <family val="2"/>
            <scheme val="minor"/>
          </rPr>
          <t>Introduzca un texto con la finalidad de la contratación</t>
        </r>
      </text>
    </comment>
    <comment ref="C234" authorId="1" shapeId="0">
      <text>
        <r>
          <rPr>
            <sz val="11"/>
            <color theme="1"/>
            <rFont val="Calibri"/>
            <family val="2"/>
            <scheme val="minor"/>
          </rPr>
          <t>Seleccionar un valor del listado</t>
        </r>
      </text>
    </comment>
    <comment ref="D234" authorId="1" shapeId="0">
      <text>
        <r>
          <rPr>
            <sz val="11"/>
            <color theme="1"/>
            <rFont val="Calibri"/>
            <family val="2"/>
            <scheme val="minor"/>
          </rPr>
          <t>Seleccione el tipo de procedimiento</t>
        </r>
      </text>
    </comment>
    <comment ref="E234" authorId="1" shapeId="0">
      <text>
        <r>
          <rPr>
            <sz val="11"/>
            <color theme="1"/>
            <rFont val="Calibri"/>
            <family val="2"/>
            <scheme val="minor"/>
          </rPr>
          <t>Seleccione un valor de la lista</t>
        </r>
      </text>
    </comment>
    <comment ref="F234" authorId="1" shapeId="0">
      <text>
        <r>
          <rPr>
            <sz val="11"/>
            <color theme="1"/>
            <rFont val="Calibri"/>
            <family val="2"/>
            <scheme val="minor"/>
          </rPr>
          <t>Introduzca el código SNIP</t>
        </r>
      </text>
    </comment>
    <comment ref="C235" authorId="1" shapeId="0">
      <text>
        <r>
          <rPr>
            <sz val="11"/>
            <color theme="1"/>
            <rFont val="Calibri"/>
            <family val="2"/>
            <scheme val="minor"/>
          </rPr>
          <t>Introduzca la fecha de inicio del proceso, en formato dd-mm-aaaa</t>
        </r>
      </text>
    </comment>
    <comment ref="F2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text/>
    </comment>
    <comment ref="C237" authorId="1" shapeId="0">
      <text>
        <r>
          <rPr>
            <sz val="11"/>
            <color theme="1"/>
            <rFont val="Calibri"/>
            <family val="2"/>
            <scheme val="minor"/>
          </rPr>
          <t>Introduzca la fecha prevista de adjudicación, en formato dd-mm-aaaa</t>
        </r>
      </text>
    </comment>
    <comment ref="F237" authorId="1" shapeId="0">
      <text/>
    </comment>
    <comment ref="F238" authorId="1" shapeId="0">
      <text/>
    </comment>
    <comment ref="A240" authorId="1" shapeId="0">
      <text>
        <r>
          <rPr>
            <sz val="11"/>
            <color theme="1"/>
            <rFont val="Calibri"/>
            <family val="2"/>
            <scheme val="minor"/>
          </rPr>
          <t>Introduzca un codigo UNSPSC</t>
        </r>
      </text>
    </comment>
    <comment ref="B240" authorId="1" shapeId="0">
      <text>
        <r>
          <rPr>
            <sz val="11"/>
            <color theme="1"/>
            <rFont val="Calibri"/>
            <family val="2"/>
            <scheme val="minor"/>
          </rPr>
          <t>Descripción calculada automáticamente a partir de código del artículo</t>
        </r>
      </text>
    </comment>
    <comment ref="C240" authorId="1" shapeId="0">
      <text>
        <r>
          <rPr>
            <sz val="11"/>
            <color theme="1"/>
            <rFont val="Calibri"/>
            <family val="2"/>
            <scheme val="minor"/>
          </rPr>
          <t>Seleccione un valor de la lista</t>
        </r>
      </text>
    </comment>
    <comment ref="D240" authorId="1" shapeId="0">
      <text>
        <r>
          <rPr>
            <sz val="11"/>
            <color theme="1"/>
            <rFont val="Calibri"/>
            <family val="2"/>
            <scheme val="minor"/>
          </rPr>
          <t>Introduzca un número con dos decimales como máximo. Debe ser igual o mayor a la "Cantidad Real Consumida"</t>
        </r>
      </text>
    </comment>
    <comment ref="E240" authorId="1" shapeId="0">
      <text>
        <r>
          <rPr>
            <sz val="11"/>
            <color theme="1"/>
            <rFont val="Calibri"/>
            <family val="2"/>
            <scheme val="minor"/>
          </rPr>
          <t>Introduzca un número con dos decimales como máximo</t>
        </r>
      </text>
    </comment>
    <comment ref="F240" authorId="1" shapeId="0">
      <text>
        <r>
          <rPr>
            <sz val="11"/>
            <color theme="1"/>
            <rFont val="Calibri"/>
            <family val="2"/>
            <scheme val="minor"/>
          </rPr>
          <t>Monto calculado automáticamente por el sistema</t>
        </r>
      </text>
    </comment>
    <comment ref="A245" authorId="1" shapeId="0">
      <text>
        <r>
          <rPr>
            <sz val="11"/>
            <color theme="1"/>
            <rFont val="Calibri"/>
            <family val="2"/>
            <scheme val="minor"/>
          </rPr>
          <t>Introducir un texto con el nombre o referencia de la contratación</t>
        </r>
      </text>
    </comment>
    <comment ref="B245" authorId="1" shapeId="0">
      <text>
        <r>
          <rPr>
            <sz val="11"/>
            <color theme="1"/>
            <rFont val="Calibri"/>
            <family val="2"/>
            <scheme val="minor"/>
          </rPr>
          <t>Introduzca un texto con la finalidad de la contratación</t>
        </r>
      </text>
    </comment>
    <comment ref="C245" authorId="1" shapeId="0">
      <text>
        <r>
          <rPr>
            <sz val="11"/>
            <color theme="1"/>
            <rFont val="Calibri"/>
            <family val="2"/>
            <scheme val="minor"/>
          </rPr>
          <t>Seleccionar un valor del listado</t>
        </r>
      </text>
    </comment>
    <comment ref="D245" authorId="1" shapeId="0">
      <text>
        <r>
          <rPr>
            <sz val="11"/>
            <color theme="1"/>
            <rFont val="Calibri"/>
            <family val="2"/>
            <scheme val="minor"/>
          </rPr>
          <t>Seleccione el tipo de procedimiento</t>
        </r>
      </text>
    </comment>
    <comment ref="E245" authorId="1" shapeId="0">
      <text>
        <r>
          <rPr>
            <sz val="11"/>
            <color theme="1"/>
            <rFont val="Calibri"/>
            <family val="2"/>
            <scheme val="minor"/>
          </rPr>
          <t>Seleccione un valor de la lista</t>
        </r>
      </text>
    </comment>
    <comment ref="F245" authorId="1" shapeId="0">
      <text>
        <r>
          <rPr>
            <sz val="11"/>
            <color theme="1"/>
            <rFont val="Calibri"/>
            <family val="2"/>
            <scheme val="minor"/>
          </rPr>
          <t>Introduzca el código SNIP</t>
        </r>
      </text>
    </comment>
    <comment ref="C246" authorId="1" shapeId="0">
      <text>
        <r>
          <rPr>
            <sz val="11"/>
            <color theme="1"/>
            <rFont val="Calibri"/>
            <family val="2"/>
            <scheme val="minor"/>
          </rPr>
          <t>Introduzca la fecha de inicio del proceso, en formato dd-mm-aaaa</t>
        </r>
      </text>
    </comment>
    <comment ref="F2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text/>
    </comment>
    <comment ref="C248" authorId="1" shapeId="0">
      <text>
        <r>
          <rPr>
            <sz val="11"/>
            <color theme="1"/>
            <rFont val="Calibri"/>
            <family val="2"/>
            <scheme val="minor"/>
          </rPr>
          <t>Introduzca la fecha prevista de adjudicación, en formato dd-mm-aaaa</t>
        </r>
      </text>
    </comment>
    <comment ref="F248" authorId="1" shapeId="0">
      <text/>
    </comment>
    <comment ref="F249" authorId="1" shapeId="0">
      <text/>
    </comment>
    <comment ref="A251" authorId="1" shapeId="0">
      <text>
        <r>
          <rPr>
            <sz val="11"/>
            <color theme="1"/>
            <rFont val="Calibri"/>
            <family val="2"/>
            <scheme val="minor"/>
          </rPr>
          <t>Introduzca un codigo UNSPSC</t>
        </r>
      </text>
    </comment>
    <comment ref="B251" authorId="1" shapeId="0">
      <text>
        <r>
          <rPr>
            <sz val="11"/>
            <color theme="1"/>
            <rFont val="Calibri"/>
            <family val="2"/>
            <scheme val="minor"/>
          </rPr>
          <t>Descripción calculada automáticamente a partir de código del artículo</t>
        </r>
      </text>
    </comment>
    <comment ref="C251" authorId="1" shapeId="0">
      <text>
        <r>
          <rPr>
            <sz val="11"/>
            <color theme="1"/>
            <rFont val="Calibri"/>
            <family val="2"/>
            <scheme val="minor"/>
          </rPr>
          <t>Seleccione un valor de la lista</t>
        </r>
      </text>
    </comment>
    <comment ref="D251" authorId="1" shapeId="0">
      <text>
        <r>
          <rPr>
            <sz val="11"/>
            <color theme="1"/>
            <rFont val="Calibri"/>
            <family val="2"/>
            <scheme val="minor"/>
          </rPr>
          <t>Introduzca un número con dos decimales como máximo. Debe ser igual o mayor a la "Cantidad Real Consumida"</t>
        </r>
      </text>
    </comment>
    <comment ref="E251" authorId="1" shapeId="0">
      <text>
        <r>
          <rPr>
            <sz val="11"/>
            <color theme="1"/>
            <rFont val="Calibri"/>
            <family val="2"/>
            <scheme val="minor"/>
          </rPr>
          <t>Introduzca un número con dos decimales como máximo</t>
        </r>
      </text>
    </comment>
    <comment ref="F251" authorId="1" shapeId="0">
      <text>
        <r>
          <rPr>
            <sz val="11"/>
            <color theme="1"/>
            <rFont val="Calibri"/>
            <family val="2"/>
            <scheme val="minor"/>
          </rPr>
          <t>Monto calculado automáticamente por el sistema</t>
        </r>
      </text>
    </comment>
    <comment ref="A257" authorId="1" shapeId="0">
      <text>
        <r>
          <rPr>
            <sz val="11"/>
            <color theme="1"/>
            <rFont val="Calibri"/>
            <family val="2"/>
            <scheme val="minor"/>
          </rPr>
          <t>Introducir un texto con el nombre o referencia de la contratación</t>
        </r>
      </text>
    </comment>
    <comment ref="B257" authorId="1" shapeId="0">
      <text>
        <r>
          <rPr>
            <sz val="11"/>
            <color theme="1"/>
            <rFont val="Calibri"/>
            <family val="2"/>
            <scheme val="minor"/>
          </rPr>
          <t>Introduzca un texto con la finalidad de la contratación</t>
        </r>
      </text>
    </comment>
    <comment ref="C257" authorId="1" shapeId="0">
      <text>
        <r>
          <rPr>
            <sz val="11"/>
            <color theme="1"/>
            <rFont val="Calibri"/>
            <family val="2"/>
            <scheme val="minor"/>
          </rPr>
          <t>Seleccionar un valor del listado</t>
        </r>
      </text>
    </comment>
    <comment ref="D257" authorId="1" shapeId="0">
      <text>
        <r>
          <rPr>
            <sz val="11"/>
            <color theme="1"/>
            <rFont val="Calibri"/>
            <family val="2"/>
            <scheme val="minor"/>
          </rPr>
          <t>Seleccione el tipo de procedimiento</t>
        </r>
      </text>
    </comment>
    <comment ref="E257" authorId="1" shapeId="0">
      <text>
        <r>
          <rPr>
            <sz val="11"/>
            <color theme="1"/>
            <rFont val="Calibri"/>
            <family val="2"/>
            <scheme val="minor"/>
          </rPr>
          <t>Seleccione un valor de la lista</t>
        </r>
      </text>
    </comment>
    <comment ref="F257" authorId="1" shapeId="0">
      <text>
        <r>
          <rPr>
            <sz val="11"/>
            <color theme="1"/>
            <rFont val="Calibri"/>
            <family val="2"/>
            <scheme val="minor"/>
          </rPr>
          <t>Introduzca el código SNIP</t>
        </r>
      </text>
    </comment>
    <comment ref="C258" authorId="1" shapeId="0">
      <text>
        <r>
          <rPr>
            <sz val="11"/>
            <color theme="1"/>
            <rFont val="Calibri"/>
            <family val="2"/>
            <scheme val="minor"/>
          </rPr>
          <t>Introduzca la fecha de inicio del proceso, en formato dd-mm-aaaa</t>
        </r>
      </text>
    </comment>
    <comment ref="F2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shapeId="0">
      <text/>
    </comment>
    <comment ref="C260" authorId="1" shapeId="0">
      <text>
        <r>
          <rPr>
            <sz val="11"/>
            <color theme="1"/>
            <rFont val="Calibri"/>
            <family val="2"/>
            <scheme val="minor"/>
          </rPr>
          <t>Introduzca la fecha prevista de adjudicación, en formato dd-mm-aaaa</t>
        </r>
      </text>
    </comment>
    <comment ref="F260" authorId="1" shapeId="0">
      <text/>
    </comment>
    <comment ref="F261" authorId="1" shapeId="0">
      <text/>
    </comment>
    <comment ref="A263" authorId="1" shapeId="0">
      <text>
        <r>
          <rPr>
            <sz val="11"/>
            <color theme="1"/>
            <rFont val="Calibri"/>
            <family val="2"/>
            <scheme val="minor"/>
          </rPr>
          <t>Introduzca un codigo UNSPSC</t>
        </r>
      </text>
    </comment>
    <comment ref="B263" authorId="1" shapeId="0">
      <text>
        <r>
          <rPr>
            <sz val="11"/>
            <color theme="1"/>
            <rFont val="Calibri"/>
            <family val="2"/>
            <scheme val="minor"/>
          </rPr>
          <t>Descripción calculada automáticamente a partir de código del artículo</t>
        </r>
      </text>
    </comment>
    <comment ref="C263" authorId="1" shapeId="0">
      <text>
        <r>
          <rPr>
            <sz val="11"/>
            <color theme="1"/>
            <rFont val="Calibri"/>
            <family val="2"/>
            <scheme val="minor"/>
          </rPr>
          <t>Seleccione un valor de la lista</t>
        </r>
      </text>
    </comment>
    <comment ref="D263" authorId="1" shapeId="0">
      <text>
        <r>
          <rPr>
            <sz val="11"/>
            <color theme="1"/>
            <rFont val="Calibri"/>
            <family val="2"/>
            <scheme val="minor"/>
          </rPr>
          <t>Introduzca un número con dos decimales como máximo. Debe ser igual o mayor a la "Cantidad Real Consumida"</t>
        </r>
      </text>
    </comment>
    <comment ref="E263" authorId="1" shapeId="0">
      <text>
        <r>
          <rPr>
            <sz val="11"/>
            <color theme="1"/>
            <rFont val="Calibri"/>
            <family val="2"/>
            <scheme val="minor"/>
          </rPr>
          <t>Introduzca un número con dos decimales como máximo</t>
        </r>
      </text>
    </comment>
    <comment ref="F263" authorId="1" shapeId="0">
      <text>
        <r>
          <rPr>
            <sz val="11"/>
            <color theme="1"/>
            <rFont val="Calibri"/>
            <family val="2"/>
            <scheme val="minor"/>
          </rPr>
          <t>Monto calculado automáticamente por el sistema</t>
        </r>
      </text>
    </comment>
    <comment ref="A271" authorId="1" shapeId="0">
      <text>
        <r>
          <rPr>
            <sz val="11"/>
            <color theme="1"/>
            <rFont val="Calibri"/>
            <family val="2"/>
            <scheme val="minor"/>
          </rPr>
          <t>Introducir un texto con el nombre o referencia de la contratación</t>
        </r>
      </text>
    </comment>
    <comment ref="B271" authorId="1" shapeId="0">
      <text>
        <r>
          <rPr>
            <sz val="11"/>
            <color theme="1"/>
            <rFont val="Calibri"/>
            <family val="2"/>
            <scheme val="minor"/>
          </rPr>
          <t>Introduzca un texto con la finalidad de la contratación</t>
        </r>
      </text>
    </comment>
    <comment ref="C271" authorId="1" shapeId="0">
      <text>
        <r>
          <rPr>
            <sz val="11"/>
            <color theme="1"/>
            <rFont val="Calibri"/>
            <family val="2"/>
            <scheme val="minor"/>
          </rPr>
          <t>Seleccionar un valor del listado</t>
        </r>
      </text>
    </comment>
    <comment ref="D271" authorId="1" shapeId="0">
      <text>
        <r>
          <rPr>
            <sz val="11"/>
            <color theme="1"/>
            <rFont val="Calibri"/>
            <family val="2"/>
            <scheme val="minor"/>
          </rPr>
          <t>Seleccione el tipo de procedimiento</t>
        </r>
      </text>
    </comment>
    <comment ref="E271" authorId="1" shapeId="0">
      <text>
        <r>
          <rPr>
            <sz val="11"/>
            <color theme="1"/>
            <rFont val="Calibri"/>
            <family val="2"/>
            <scheme val="minor"/>
          </rPr>
          <t>Seleccione un valor de la lista</t>
        </r>
      </text>
    </comment>
    <comment ref="F271" authorId="1" shapeId="0">
      <text>
        <r>
          <rPr>
            <sz val="11"/>
            <color theme="1"/>
            <rFont val="Calibri"/>
            <family val="2"/>
            <scheme val="minor"/>
          </rPr>
          <t>Introduzca el código SNIP</t>
        </r>
      </text>
    </comment>
    <comment ref="C272" authorId="1" shapeId="0">
      <text>
        <r>
          <rPr>
            <sz val="11"/>
            <color theme="1"/>
            <rFont val="Calibri"/>
            <family val="2"/>
            <scheme val="minor"/>
          </rPr>
          <t>Introduzca la fecha de inicio del proceso, en formato dd-mm-aaaa</t>
        </r>
      </text>
    </comment>
    <comment ref="F2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text/>
    </comment>
    <comment ref="C274" authorId="1" shapeId="0">
      <text>
        <r>
          <rPr>
            <sz val="11"/>
            <color theme="1"/>
            <rFont val="Calibri"/>
            <family val="2"/>
            <scheme val="minor"/>
          </rPr>
          <t>Introduzca la fecha prevista de adjudicación, en formato dd-mm-aaaa</t>
        </r>
      </text>
    </comment>
    <comment ref="F274" authorId="1" shapeId="0">
      <text/>
    </comment>
    <comment ref="F275" authorId="1" shapeId="0">
      <text/>
    </comment>
    <comment ref="A277" authorId="1" shapeId="0">
      <text>
        <r>
          <rPr>
            <sz val="11"/>
            <color theme="1"/>
            <rFont val="Calibri"/>
            <family val="2"/>
            <scheme val="minor"/>
          </rPr>
          <t>Introduzca un codigo UNSPSC</t>
        </r>
      </text>
    </comment>
    <comment ref="B277" authorId="1" shapeId="0">
      <text>
        <r>
          <rPr>
            <sz val="11"/>
            <color theme="1"/>
            <rFont val="Calibri"/>
            <family val="2"/>
            <scheme val="minor"/>
          </rPr>
          <t>Descripción calculada automáticamente a partir de código del artículo</t>
        </r>
      </text>
    </comment>
    <comment ref="C277" authorId="1" shapeId="0">
      <text>
        <r>
          <rPr>
            <sz val="11"/>
            <color theme="1"/>
            <rFont val="Calibri"/>
            <family val="2"/>
            <scheme val="minor"/>
          </rPr>
          <t>Seleccione un valor de la lista</t>
        </r>
      </text>
    </comment>
    <comment ref="D277" authorId="1" shapeId="0">
      <text>
        <r>
          <rPr>
            <sz val="11"/>
            <color theme="1"/>
            <rFont val="Calibri"/>
            <family val="2"/>
            <scheme val="minor"/>
          </rPr>
          <t>Introduzca un número con dos decimales como máximo. Debe ser igual o mayor a la "Cantidad Real Consumida"</t>
        </r>
      </text>
    </comment>
    <comment ref="E277" authorId="1" shapeId="0">
      <text>
        <r>
          <rPr>
            <sz val="11"/>
            <color theme="1"/>
            <rFont val="Calibri"/>
            <family val="2"/>
            <scheme val="minor"/>
          </rPr>
          <t>Introduzca un número con dos decimales como máximo</t>
        </r>
      </text>
    </comment>
    <comment ref="F277" authorId="1" shapeId="0">
      <text>
        <r>
          <rPr>
            <sz val="11"/>
            <color theme="1"/>
            <rFont val="Calibri"/>
            <family val="2"/>
            <scheme val="minor"/>
          </rPr>
          <t>Monto calculado automáticamente por el sistema</t>
        </r>
      </text>
    </comment>
    <comment ref="A283" authorId="1" shapeId="0">
      <text>
        <r>
          <rPr>
            <sz val="11"/>
            <color theme="1"/>
            <rFont val="Calibri"/>
            <family val="2"/>
            <scheme val="minor"/>
          </rPr>
          <t>Introducir un texto con el nombre o referencia de la contratación</t>
        </r>
      </text>
    </comment>
    <comment ref="B283" authorId="1" shapeId="0">
      <text>
        <r>
          <rPr>
            <sz val="11"/>
            <color theme="1"/>
            <rFont val="Calibri"/>
            <family val="2"/>
            <scheme val="minor"/>
          </rPr>
          <t>Introduzca un texto con la finalidad de la contratación</t>
        </r>
      </text>
    </comment>
    <comment ref="C283" authorId="1" shapeId="0">
      <text>
        <r>
          <rPr>
            <sz val="11"/>
            <color theme="1"/>
            <rFont val="Calibri"/>
            <family val="2"/>
            <scheme val="minor"/>
          </rPr>
          <t>Seleccionar un valor del listado</t>
        </r>
      </text>
    </comment>
    <comment ref="D283" authorId="1" shapeId="0">
      <text>
        <r>
          <rPr>
            <sz val="11"/>
            <color theme="1"/>
            <rFont val="Calibri"/>
            <family val="2"/>
            <scheme val="minor"/>
          </rPr>
          <t>Seleccione el tipo de procedimiento</t>
        </r>
      </text>
    </comment>
    <comment ref="E283" authorId="1" shapeId="0">
      <text>
        <r>
          <rPr>
            <sz val="11"/>
            <color theme="1"/>
            <rFont val="Calibri"/>
            <family val="2"/>
            <scheme val="minor"/>
          </rPr>
          <t>Seleccione un valor de la lista</t>
        </r>
      </text>
    </comment>
    <comment ref="F283" authorId="1" shapeId="0">
      <text>
        <r>
          <rPr>
            <sz val="11"/>
            <color theme="1"/>
            <rFont val="Calibri"/>
            <family val="2"/>
            <scheme val="minor"/>
          </rPr>
          <t>Introduzca el código SNIP</t>
        </r>
      </text>
    </comment>
    <comment ref="C284" authorId="1" shapeId="0">
      <text>
        <r>
          <rPr>
            <sz val="11"/>
            <color theme="1"/>
            <rFont val="Calibri"/>
            <family val="2"/>
            <scheme val="minor"/>
          </rPr>
          <t>Introduzca la fecha de inicio del proceso, en formato dd-mm-aaaa</t>
        </r>
      </text>
    </comment>
    <comment ref="F2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1" shapeId="0">
      <text/>
    </comment>
    <comment ref="C286" authorId="1" shapeId="0">
      <text>
        <r>
          <rPr>
            <sz val="11"/>
            <color theme="1"/>
            <rFont val="Calibri"/>
            <family val="2"/>
            <scheme val="minor"/>
          </rPr>
          <t>Introduzca la fecha prevista de adjudicación, en formato dd-mm-aaaa</t>
        </r>
      </text>
    </comment>
    <comment ref="F286" authorId="1" shapeId="0">
      <text/>
    </comment>
    <comment ref="F287" authorId="1" shapeId="0">
      <text/>
    </comment>
    <comment ref="A289" authorId="1" shapeId="0">
      <text>
        <r>
          <rPr>
            <sz val="11"/>
            <color theme="1"/>
            <rFont val="Calibri"/>
            <family val="2"/>
            <scheme val="minor"/>
          </rPr>
          <t>Introduzca un codigo UNSPSC</t>
        </r>
      </text>
    </comment>
    <comment ref="B289" authorId="1" shapeId="0">
      <text>
        <r>
          <rPr>
            <sz val="11"/>
            <color theme="1"/>
            <rFont val="Calibri"/>
            <family val="2"/>
            <scheme val="minor"/>
          </rPr>
          <t>Descripción calculada automáticamente a partir de código del artículo</t>
        </r>
      </text>
    </comment>
    <comment ref="C289" authorId="1" shapeId="0">
      <text>
        <r>
          <rPr>
            <sz val="11"/>
            <color theme="1"/>
            <rFont val="Calibri"/>
            <family val="2"/>
            <scheme val="minor"/>
          </rPr>
          <t>Seleccione un valor de la lista</t>
        </r>
      </text>
    </comment>
    <comment ref="D289" authorId="1" shapeId="0">
      <text>
        <r>
          <rPr>
            <sz val="11"/>
            <color theme="1"/>
            <rFont val="Calibri"/>
            <family val="2"/>
            <scheme val="minor"/>
          </rPr>
          <t>Introduzca un número con dos decimales como máximo. Debe ser igual o mayor a la "Cantidad Real Consumida"</t>
        </r>
      </text>
    </comment>
    <comment ref="E289" authorId="1" shapeId="0">
      <text>
        <r>
          <rPr>
            <sz val="11"/>
            <color theme="1"/>
            <rFont val="Calibri"/>
            <family val="2"/>
            <scheme val="minor"/>
          </rPr>
          <t>Introduzca un número con dos decimales como máximo</t>
        </r>
      </text>
    </comment>
    <comment ref="F289" authorId="1" shapeId="0">
      <text>
        <r>
          <rPr>
            <sz val="11"/>
            <color theme="1"/>
            <rFont val="Calibri"/>
            <family val="2"/>
            <scheme val="minor"/>
          </rPr>
          <t>Monto calculado automáticamente por el sistema</t>
        </r>
      </text>
    </comment>
    <comment ref="A295" authorId="1" shapeId="0">
      <text>
        <r>
          <rPr>
            <sz val="11"/>
            <color theme="1"/>
            <rFont val="Calibri"/>
            <family val="2"/>
            <scheme val="minor"/>
          </rPr>
          <t>Introducir un texto con el nombre o referencia de la contratación</t>
        </r>
      </text>
    </comment>
    <comment ref="B295" authorId="1" shapeId="0">
      <text>
        <r>
          <rPr>
            <sz val="11"/>
            <color theme="1"/>
            <rFont val="Calibri"/>
            <family val="2"/>
            <scheme val="minor"/>
          </rPr>
          <t>Introduzca un texto con la finalidad de la contratación</t>
        </r>
      </text>
    </comment>
    <comment ref="C295" authorId="1" shapeId="0">
      <text>
        <r>
          <rPr>
            <sz val="11"/>
            <color theme="1"/>
            <rFont val="Calibri"/>
            <family val="2"/>
            <scheme val="minor"/>
          </rPr>
          <t>Seleccionar un valor del listado</t>
        </r>
      </text>
    </comment>
    <comment ref="D295" authorId="1" shapeId="0">
      <text>
        <r>
          <rPr>
            <sz val="11"/>
            <color theme="1"/>
            <rFont val="Calibri"/>
            <family val="2"/>
            <scheme val="minor"/>
          </rPr>
          <t>Seleccione el tipo de procedimiento</t>
        </r>
      </text>
    </comment>
    <comment ref="E295" authorId="1" shapeId="0">
      <text>
        <r>
          <rPr>
            <sz val="11"/>
            <color theme="1"/>
            <rFont val="Calibri"/>
            <family val="2"/>
            <scheme val="minor"/>
          </rPr>
          <t>Seleccione un valor de la lista</t>
        </r>
      </text>
    </comment>
    <comment ref="F295" authorId="1" shapeId="0">
      <text>
        <r>
          <rPr>
            <sz val="11"/>
            <color theme="1"/>
            <rFont val="Calibri"/>
            <family val="2"/>
            <scheme val="minor"/>
          </rPr>
          <t>Introduzca el código SNIP</t>
        </r>
      </text>
    </comment>
    <comment ref="C296" authorId="1" shapeId="0">
      <text>
        <r>
          <rPr>
            <sz val="11"/>
            <color theme="1"/>
            <rFont val="Calibri"/>
            <family val="2"/>
            <scheme val="minor"/>
          </rPr>
          <t>Introduzca la fecha de inicio del proceso, en formato dd-mm-aaaa</t>
        </r>
      </text>
    </comment>
    <comment ref="F2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 authorId="1" shapeId="0">
      <text/>
    </comment>
    <comment ref="C298" authorId="1" shapeId="0">
      <text>
        <r>
          <rPr>
            <sz val="11"/>
            <color theme="1"/>
            <rFont val="Calibri"/>
            <family val="2"/>
            <scheme val="minor"/>
          </rPr>
          <t>Introduzca la fecha prevista de adjudicación, en formato dd-mm-aaaa</t>
        </r>
      </text>
    </comment>
    <comment ref="F298" authorId="1" shapeId="0">
      <text/>
    </comment>
    <comment ref="F299" authorId="1" shapeId="0">
      <text/>
    </comment>
    <comment ref="A301" authorId="1" shapeId="0">
      <text>
        <r>
          <rPr>
            <sz val="11"/>
            <color theme="1"/>
            <rFont val="Calibri"/>
            <family val="2"/>
            <scheme val="minor"/>
          </rPr>
          <t>Introduzca un codigo UNSPSC</t>
        </r>
      </text>
    </comment>
    <comment ref="B301" authorId="1" shapeId="0">
      <text>
        <r>
          <rPr>
            <sz val="11"/>
            <color theme="1"/>
            <rFont val="Calibri"/>
            <family val="2"/>
            <scheme val="minor"/>
          </rPr>
          <t>Descripción calculada automáticamente a partir de código del artículo</t>
        </r>
      </text>
    </comment>
    <comment ref="C301" authorId="1" shapeId="0">
      <text>
        <r>
          <rPr>
            <sz val="11"/>
            <color theme="1"/>
            <rFont val="Calibri"/>
            <family val="2"/>
            <scheme val="minor"/>
          </rPr>
          <t>Seleccione un valor de la lista</t>
        </r>
      </text>
    </comment>
    <comment ref="D301" authorId="1" shapeId="0">
      <text>
        <r>
          <rPr>
            <sz val="11"/>
            <color theme="1"/>
            <rFont val="Calibri"/>
            <family val="2"/>
            <scheme val="minor"/>
          </rPr>
          <t>Introduzca un número con dos decimales como máximo. Debe ser igual o mayor a la "Cantidad Real Consumida"</t>
        </r>
      </text>
    </comment>
    <comment ref="E301" authorId="1" shapeId="0">
      <text>
        <r>
          <rPr>
            <sz val="11"/>
            <color theme="1"/>
            <rFont val="Calibri"/>
            <family val="2"/>
            <scheme val="minor"/>
          </rPr>
          <t>Introduzca un número con dos decimales como máximo</t>
        </r>
      </text>
    </comment>
    <comment ref="F301" authorId="1" shapeId="0">
      <text>
        <r>
          <rPr>
            <sz val="11"/>
            <color theme="1"/>
            <rFont val="Calibri"/>
            <family val="2"/>
            <scheme val="minor"/>
          </rPr>
          <t>Monto calculado automáticamente por el sistema</t>
        </r>
      </text>
    </comment>
    <comment ref="A314" authorId="1" shapeId="0">
      <text>
        <r>
          <rPr>
            <sz val="11"/>
            <color theme="1"/>
            <rFont val="Calibri"/>
            <family val="2"/>
            <scheme val="minor"/>
          </rPr>
          <t>Introducir un texto con el nombre o referencia de la contratación</t>
        </r>
      </text>
    </comment>
    <comment ref="B314" authorId="1" shapeId="0">
      <text>
        <r>
          <rPr>
            <sz val="11"/>
            <color theme="1"/>
            <rFont val="Calibri"/>
            <family val="2"/>
            <scheme val="minor"/>
          </rPr>
          <t>Introduzca un texto con la finalidad de la contratación</t>
        </r>
      </text>
    </comment>
    <comment ref="C314" authorId="1" shapeId="0">
      <text>
        <r>
          <rPr>
            <sz val="11"/>
            <color theme="1"/>
            <rFont val="Calibri"/>
            <family val="2"/>
            <scheme val="minor"/>
          </rPr>
          <t>Seleccionar un valor del listado</t>
        </r>
      </text>
    </comment>
    <comment ref="D314" authorId="1" shapeId="0">
      <text>
        <r>
          <rPr>
            <sz val="11"/>
            <color theme="1"/>
            <rFont val="Calibri"/>
            <family val="2"/>
            <scheme val="minor"/>
          </rPr>
          <t>Seleccione el tipo de procedimiento</t>
        </r>
      </text>
    </comment>
    <comment ref="E314" authorId="1" shapeId="0">
      <text>
        <r>
          <rPr>
            <sz val="11"/>
            <color theme="1"/>
            <rFont val="Calibri"/>
            <family val="2"/>
            <scheme val="minor"/>
          </rPr>
          <t>Seleccione un valor de la lista</t>
        </r>
      </text>
    </comment>
    <comment ref="F314" authorId="1" shapeId="0">
      <text>
        <r>
          <rPr>
            <sz val="11"/>
            <color theme="1"/>
            <rFont val="Calibri"/>
            <family val="2"/>
            <scheme val="minor"/>
          </rPr>
          <t>Introduzca el código SNIP</t>
        </r>
      </text>
    </comment>
    <comment ref="C315" authorId="1" shapeId="0">
      <text>
        <r>
          <rPr>
            <sz val="11"/>
            <color theme="1"/>
            <rFont val="Calibri"/>
            <family val="2"/>
            <scheme val="minor"/>
          </rPr>
          <t>Introduzca la fecha de inicio del proceso, en formato dd-mm-aaaa</t>
        </r>
      </text>
    </comment>
    <comment ref="F3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text/>
    </comment>
    <comment ref="C317" authorId="1" shapeId="0">
      <text>
        <r>
          <rPr>
            <sz val="11"/>
            <color theme="1"/>
            <rFont val="Calibri"/>
            <family val="2"/>
            <scheme val="minor"/>
          </rPr>
          <t>Introduzca la fecha prevista de adjudicación, en formato dd-mm-aaaa</t>
        </r>
      </text>
    </comment>
    <comment ref="F317" authorId="1" shapeId="0">
      <text/>
    </comment>
    <comment ref="F318" authorId="1" shapeId="0">
      <text/>
    </comment>
    <comment ref="A320" authorId="1" shapeId="0">
      <text>
        <r>
          <rPr>
            <sz val="11"/>
            <color theme="1"/>
            <rFont val="Calibri"/>
            <family val="2"/>
            <scheme val="minor"/>
          </rPr>
          <t>Introduzca un codigo UNSPSC</t>
        </r>
      </text>
    </comment>
    <comment ref="B320" authorId="1" shapeId="0">
      <text>
        <r>
          <rPr>
            <sz val="11"/>
            <color theme="1"/>
            <rFont val="Calibri"/>
            <family val="2"/>
            <scheme val="minor"/>
          </rPr>
          <t>Descripción calculada automáticamente a partir de código del artículo</t>
        </r>
      </text>
    </comment>
    <comment ref="C320" authorId="1" shapeId="0">
      <text>
        <r>
          <rPr>
            <sz val="11"/>
            <color theme="1"/>
            <rFont val="Calibri"/>
            <family val="2"/>
            <scheme val="minor"/>
          </rPr>
          <t>Seleccione un valor de la lista</t>
        </r>
      </text>
    </comment>
    <comment ref="D320" authorId="1" shapeId="0">
      <text>
        <r>
          <rPr>
            <sz val="11"/>
            <color theme="1"/>
            <rFont val="Calibri"/>
            <family val="2"/>
            <scheme val="minor"/>
          </rPr>
          <t>Introduzca un número con dos decimales como máximo. Debe ser igual o mayor a la "Cantidad Real Consumida"</t>
        </r>
      </text>
    </comment>
    <comment ref="E320" authorId="1" shapeId="0">
      <text>
        <r>
          <rPr>
            <sz val="11"/>
            <color theme="1"/>
            <rFont val="Calibri"/>
            <family val="2"/>
            <scheme val="minor"/>
          </rPr>
          <t>Introduzca un número con dos decimales como máximo</t>
        </r>
      </text>
    </comment>
    <comment ref="F320" authorId="1" shapeId="0">
      <text>
        <r>
          <rPr>
            <sz val="11"/>
            <color theme="1"/>
            <rFont val="Calibri"/>
            <family val="2"/>
            <scheme val="minor"/>
          </rPr>
          <t>Monto calculado automáticamente por el sistema</t>
        </r>
      </text>
    </comment>
    <comment ref="A372" authorId="1" shapeId="0">
      <text>
        <r>
          <rPr>
            <sz val="11"/>
            <color theme="1"/>
            <rFont val="Calibri"/>
            <family val="2"/>
            <scheme val="minor"/>
          </rPr>
          <t>Introducir un texto con el nombre o referencia de la contratación</t>
        </r>
      </text>
    </comment>
    <comment ref="B372" authorId="1" shapeId="0">
      <text>
        <r>
          <rPr>
            <sz val="11"/>
            <color theme="1"/>
            <rFont val="Calibri"/>
            <family val="2"/>
            <scheme val="minor"/>
          </rPr>
          <t>Introduzca un texto con la finalidad de la contratación</t>
        </r>
      </text>
    </comment>
    <comment ref="C372" authorId="1" shapeId="0">
      <text>
        <r>
          <rPr>
            <sz val="11"/>
            <color theme="1"/>
            <rFont val="Calibri"/>
            <family val="2"/>
            <scheme val="minor"/>
          </rPr>
          <t>Seleccionar un valor del listado</t>
        </r>
      </text>
    </comment>
    <comment ref="D372" authorId="1" shapeId="0">
      <text>
        <r>
          <rPr>
            <sz val="11"/>
            <color theme="1"/>
            <rFont val="Calibri"/>
            <family val="2"/>
            <scheme val="minor"/>
          </rPr>
          <t>Seleccione el tipo de procedimiento</t>
        </r>
      </text>
    </comment>
    <comment ref="E372" authorId="1" shapeId="0">
      <text>
        <r>
          <rPr>
            <sz val="11"/>
            <color theme="1"/>
            <rFont val="Calibri"/>
            <family val="2"/>
            <scheme val="minor"/>
          </rPr>
          <t>Seleccione un valor de la lista</t>
        </r>
      </text>
    </comment>
    <comment ref="F372" authorId="1" shapeId="0">
      <text>
        <r>
          <rPr>
            <sz val="11"/>
            <color theme="1"/>
            <rFont val="Calibri"/>
            <family val="2"/>
            <scheme val="minor"/>
          </rPr>
          <t>Introduzca el código SNIP</t>
        </r>
      </text>
    </comment>
    <comment ref="C373" authorId="1" shapeId="0">
      <text>
        <r>
          <rPr>
            <sz val="11"/>
            <color theme="1"/>
            <rFont val="Calibri"/>
            <family val="2"/>
            <scheme val="minor"/>
          </rPr>
          <t>Introduzca la fecha de inicio del proceso, en formato dd-mm-aaaa</t>
        </r>
      </text>
    </comment>
    <comment ref="F3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text/>
    </comment>
    <comment ref="C375" authorId="1" shapeId="0">
      <text>
        <r>
          <rPr>
            <sz val="11"/>
            <color theme="1"/>
            <rFont val="Calibri"/>
            <family val="2"/>
            <scheme val="minor"/>
          </rPr>
          <t>Introduzca la fecha prevista de adjudicación, en formato dd-mm-aaaa</t>
        </r>
      </text>
    </comment>
    <comment ref="F375" authorId="1" shapeId="0">
      <text/>
    </comment>
    <comment ref="F376" authorId="1" shapeId="0">
      <text/>
    </comment>
    <comment ref="A378" authorId="1" shapeId="0">
      <text>
        <r>
          <rPr>
            <sz val="11"/>
            <color theme="1"/>
            <rFont val="Calibri"/>
            <family val="2"/>
            <scheme val="minor"/>
          </rPr>
          <t>Introduzca un codigo UNSPSC</t>
        </r>
      </text>
    </comment>
    <comment ref="B378" authorId="1" shapeId="0">
      <text>
        <r>
          <rPr>
            <sz val="11"/>
            <color theme="1"/>
            <rFont val="Calibri"/>
            <family val="2"/>
            <scheme val="minor"/>
          </rPr>
          <t>Descripción calculada automáticamente a partir de código del artículo</t>
        </r>
      </text>
    </comment>
    <comment ref="C378" authorId="1" shapeId="0">
      <text>
        <r>
          <rPr>
            <sz val="11"/>
            <color theme="1"/>
            <rFont val="Calibri"/>
            <family val="2"/>
            <scheme val="minor"/>
          </rPr>
          <t>Seleccione un valor de la lista</t>
        </r>
      </text>
    </comment>
    <comment ref="D378" authorId="1" shapeId="0">
      <text>
        <r>
          <rPr>
            <sz val="11"/>
            <color theme="1"/>
            <rFont val="Calibri"/>
            <family val="2"/>
            <scheme val="minor"/>
          </rPr>
          <t>Introduzca un número con dos decimales como máximo. Debe ser igual o mayor a la "Cantidad Real Consumida"</t>
        </r>
      </text>
    </comment>
    <comment ref="E378" authorId="1" shapeId="0">
      <text>
        <r>
          <rPr>
            <sz val="11"/>
            <color theme="1"/>
            <rFont val="Calibri"/>
            <family val="2"/>
            <scheme val="minor"/>
          </rPr>
          <t>Introduzca un número con dos decimales como máximo</t>
        </r>
      </text>
    </comment>
    <comment ref="F378" authorId="1" shapeId="0">
      <text>
        <r>
          <rPr>
            <sz val="11"/>
            <color theme="1"/>
            <rFont val="Calibri"/>
            <family val="2"/>
            <scheme val="minor"/>
          </rPr>
          <t>Monto calculado automáticamente por el sistema</t>
        </r>
      </text>
    </comment>
    <comment ref="A384" authorId="1" shapeId="0">
      <text>
        <r>
          <rPr>
            <sz val="11"/>
            <color theme="1"/>
            <rFont val="Calibri"/>
            <family val="2"/>
            <scheme val="minor"/>
          </rPr>
          <t>Introducir un texto con el nombre o referencia de la contratación</t>
        </r>
      </text>
    </comment>
    <comment ref="B384" authorId="1" shapeId="0">
      <text>
        <r>
          <rPr>
            <sz val="11"/>
            <color theme="1"/>
            <rFont val="Calibri"/>
            <family val="2"/>
            <scheme val="minor"/>
          </rPr>
          <t>Introduzca un texto con la finalidad de la contratación</t>
        </r>
      </text>
    </comment>
    <comment ref="C384" authorId="1" shapeId="0">
      <text>
        <r>
          <rPr>
            <sz val="11"/>
            <color theme="1"/>
            <rFont val="Calibri"/>
            <family val="2"/>
            <scheme val="minor"/>
          </rPr>
          <t>Seleccionar un valor del listado</t>
        </r>
      </text>
    </comment>
    <comment ref="D384" authorId="1" shapeId="0">
      <text>
        <r>
          <rPr>
            <sz val="11"/>
            <color theme="1"/>
            <rFont val="Calibri"/>
            <family val="2"/>
            <scheme val="minor"/>
          </rPr>
          <t>Seleccione el tipo de procedimiento</t>
        </r>
      </text>
    </comment>
    <comment ref="E384" authorId="1" shapeId="0">
      <text>
        <r>
          <rPr>
            <sz val="11"/>
            <color theme="1"/>
            <rFont val="Calibri"/>
            <family val="2"/>
            <scheme val="minor"/>
          </rPr>
          <t>Seleccione un valor de la lista</t>
        </r>
      </text>
    </comment>
    <comment ref="F384" authorId="1" shapeId="0">
      <text>
        <r>
          <rPr>
            <sz val="11"/>
            <color theme="1"/>
            <rFont val="Calibri"/>
            <family val="2"/>
            <scheme val="minor"/>
          </rPr>
          <t>Introduzca el código SNIP</t>
        </r>
      </text>
    </comment>
    <comment ref="C385" authorId="1" shapeId="0">
      <text>
        <r>
          <rPr>
            <sz val="11"/>
            <color theme="1"/>
            <rFont val="Calibri"/>
            <family val="2"/>
            <scheme val="minor"/>
          </rPr>
          <t>Introduzca la fecha de inicio del proceso, en formato dd-mm-aaaa</t>
        </r>
      </text>
    </comment>
    <comment ref="F3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text/>
    </comment>
    <comment ref="C387" authorId="1" shapeId="0">
      <text>
        <r>
          <rPr>
            <sz val="11"/>
            <color theme="1"/>
            <rFont val="Calibri"/>
            <family val="2"/>
            <scheme val="minor"/>
          </rPr>
          <t>Introduzca la fecha prevista de adjudicación, en formato dd-mm-aaaa</t>
        </r>
      </text>
    </comment>
    <comment ref="F387" authorId="1" shapeId="0">
      <text/>
    </comment>
    <comment ref="F388" authorId="1" shapeId="0">
      <text/>
    </comment>
    <comment ref="A390" authorId="1" shapeId="0">
      <text>
        <r>
          <rPr>
            <sz val="11"/>
            <color theme="1"/>
            <rFont val="Calibri"/>
            <family val="2"/>
            <scheme val="minor"/>
          </rPr>
          <t>Introduzca un codigo UNSPSC</t>
        </r>
      </text>
    </comment>
    <comment ref="B390" authorId="1" shapeId="0">
      <text>
        <r>
          <rPr>
            <sz val="11"/>
            <color theme="1"/>
            <rFont val="Calibri"/>
            <family val="2"/>
            <scheme val="minor"/>
          </rPr>
          <t>Descripción calculada automáticamente a partir de código del artículo</t>
        </r>
      </text>
    </comment>
    <comment ref="C390" authorId="1" shapeId="0">
      <text>
        <r>
          <rPr>
            <sz val="11"/>
            <color theme="1"/>
            <rFont val="Calibri"/>
            <family val="2"/>
            <scheme val="minor"/>
          </rPr>
          <t>Seleccione un valor de la lista</t>
        </r>
      </text>
    </comment>
    <comment ref="D390" authorId="1" shapeId="0">
      <text>
        <r>
          <rPr>
            <sz val="11"/>
            <color theme="1"/>
            <rFont val="Calibri"/>
            <family val="2"/>
            <scheme val="minor"/>
          </rPr>
          <t>Introduzca un número con dos decimales como máximo. Debe ser igual o mayor a la "Cantidad Real Consumida"</t>
        </r>
      </text>
    </comment>
    <comment ref="E390" authorId="1" shapeId="0">
      <text>
        <r>
          <rPr>
            <sz val="11"/>
            <color theme="1"/>
            <rFont val="Calibri"/>
            <family val="2"/>
            <scheme val="minor"/>
          </rPr>
          <t>Introduzca un número con dos decimales como máximo</t>
        </r>
      </text>
    </comment>
    <comment ref="F390" authorId="1" shapeId="0">
      <text>
        <r>
          <rPr>
            <sz val="11"/>
            <color theme="1"/>
            <rFont val="Calibri"/>
            <family val="2"/>
            <scheme val="minor"/>
          </rPr>
          <t>Monto calculado automáticamente por el sistema</t>
        </r>
      </text>
    </comment>
    <comment ref="A396" authorId="1" shapeId="0">
      <text>
        <r>
          <rPr>
            <sz val="11"/>
            <color theme="1"/>
            <rFont val="Calibri"/>
            <family val="2"/>
            <scheme val="minor"/>
          </rPr>
          <t>Introducir un texto con el nombre o referencia de la contratación</t>
        </r>
      </text>
    </comment>
    <comment ref="B396" authorId="1" shapeId="0">
      <text>
        <r>
          <rPr>
            <sz val="11"/>
            <color theme="1"/>
            <rFont val="Calibri"/>
            <family val="2"/>
            <scheme val="minor"/>
          </rPr>
          <t>Introduzca un texto con la finalidad de la contratación</t>
        </r>
      </text>
    </comment>
    <comment ref="C396" authorId="1" shapeId="0">
      <text>
        <r>
          <rPr>
            <sz val="11"/>
            <color theme="1"/>
            <rFont val="Calibri"/>
            <family val="2"/>
            <scheme val="minor"/>
          </rPr>
          <t>Seleccionar un valor del listado</t>
        </r>
      </text>
    </comment>
    <comment ref="D396" authorId="1" shapeId="0">
      <text>
        <r>
          <rPr>
            <sz val="11"/>
            <color theme="1"/>
            <rFont val="Calibri"/>
            <family val="2"/>
            <scheme val="minor"/>
          </rPr>
          <t>Seleccione el tipo de procedimiento</t>
        </r>
      </text>
    </comment>
    <comment ref="E396" authorId="1" shapeId="0">
      <text>
        <r>
          <rPr>
            <sz val="11"/>
            <color theme="1"/>
            <rFont val="Calibri"/>
            <family val="2"/>
            <scheme val="minor"/>
          </rPr>
          <t>Seleccione un valor de la lista</t>
        </r>
      </text>
    </comment>
    <comment ref="F396" authorId="1" shapeId="0">
      <text>
        <r>
          <rPr>
            <sz val="11"/>
            <color theme="1"/>
            <rFont val="Calibri"/>
            <family val="2"/>
            <scheme val="minor"/>
          </rPr>
          <t>Introduzca el código SNIP</t>
        </r>
      </text>
    </comment>
    <comment ref="C397" authorId="1" shapeId="0">
      <text>
        <r>
          <rPr>
            <sz val="11"/>
            <color theme="1"/>
            <rFont val="Calibri"/>
            <family val="2"/>
            <scheme val="minor"/>
          </rPr>
          <t>Introduzca la fecha de inicio del proceso, en formato dd-mm-aaaa</t>
        </r>
      </text>
    </comment>
    <comment ref="F3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1" shapeId="0">
      <text/>
    </comment>
    <comment ref="C399" authorId="1" shapeId="0">
      <text>
        <r>
          <rPr>
            <sz val="11"/>
            <color theme="1"/>
            <rFont val="Calibri"/>
            <family val="2"/>
            <scheme val="minor"/>
          </rPr>
          <t>Introduzca la fecha prevista de adjudicación, en formato dd-mm-aaaa</t>
        </r>
      </text>
    </comment>
    <comment ref="F399" authorId="1" shapeId="0">
      <text/>
    </comment>
    <comment ref="F400" authorId="1" shapeId="0">
      <text/>
    </comment>
    <comment ref="A402" authorId="1" shapeId="0">
      <text>
        <r>
          <rPr>
            <sz val="11"/>
            <color theme="1"/>
            <rFont val="Calibri"/>
            <family val="2"/>
            <scheme val="minor"/>
          </rPr>
          <t>Introduzca un codigo UNSPSC</t>
        </r>
      </text>
    </comment>
    <comment ref="B402" authorId="1" shapeId="0">
      <text>
        <r>
          <rPr>
            <sz val="11"/>
            <color theme="1"/>
            <rFont val="Calibri"/>
            <family val="2"/>
            <scheme val="minor"/>
          </rPr>
          <t>Descripción calculada automáticamente a partir de código del artículo</t>
        </r>
      </text>
    </comment>
    <comment ref="C402" authorId="1" shapeId="0">
      <text>
        <r>
          <rPr>
            <sz val="11"/>
            <color theme="1"/>
            <rFont val="Calibri"/>
            <family val="2"/>
            <scheme val="minor"/>
          </rPr>
          <t>Seleccione un valor de la lista</t>
        </r>
      </text>
    </comment>
    <comment ref="D402" authorId="1" shapeId="0">
      <text>
        <r>
          <rPr>
            <sz val="11"/>
            <color theme="1"/>
            <rFont val="Calibri"/>
            <family val="2"/>
            <scheme val="minor"/>
          </rPr>
          <t>Introduzca un número con dos decimales como máximo. Debe ser igual o mayor a la "Cantidad Real Consumida"</t>
        </r>
      </text>
    </comment>
    <comment ref="E402" authorId="1" shapeId="0">
      <text>
        <r>
          <rPr>
            <sz val="11"/>
            <color theme="1"/>
            <rFont val="Calibri"/>
            <family val="2"/>
            <scheme val="minor"/>
          </rPr>
          <t>Introduzca un número con dos decimales como máximo</t>
        </r>
      </text>
    </comment>
    <comment ref="F402" authorId="1" shapeId="0">
      <text>
        <r>
          <rPr>
            <sz val="11"/>
            <color theme="1"/>
            <rFont val="Calibri"/>
            <family val="2"/>
            <scheme val="minor"/>
          </rPr>
          <t>Monto calculado automáticamente por el sistema</t>
        </r>
      </text>
    </comment>
    <comment ref="A418" authorId="1" shapeId="0">
      <text>
        <r>
          <rPr>
            <sz val="11"/>
            <color theme="1"/>
            <rFont val="Calibri"/>
            <family val="2"/>
            <scheme val="minor"/>
          </rPr>
          <t>Introducir un texto con el nombre o referencia de la contratación</t>
        </r>
      </text>
    </comment>
    <comment ref="B418" authorId="1" shapeId="0">
      <text>
        <r>
          <rPr>
            <sz val="11"/>
            <color theme="1"/>
            <rFont val="Calibri"/>
            <family val="2"/>
            <scheme val="minor"/>
          </rPr>
          <t>Introduzca un texto con la finalidad de la contratación</t>
        </r>
      </text>
    </comment>
    <comment ref="C418" authorId="1" shapeId="0">
      <text>
        <r>
          <rPr>
            <sz val="11"/>
            <color theme="1"/>
            <rFont val="Calibri"/>
            <family val="2"/>
            <scheme val="minor"/>
          </rPr>
          <t>Seleccionar un valor del listado</t>
        </r>
      </text>
    </comment>
    <comment ref="D418" authorId="1" shapeId="0">
      <text>
        <r>
          <rPr>
            <sz val="11"/>
            <color theme="1"/>
            <rFont val="Calibri"/>
            <family val="2"/>
            <scheme val="minor"/>
          </rPr>
          <t>Seleccione el tipo de procedimiento</t>
        </r>
      </text>
    </comment>
    <comment ref="E418" authorId="1" shapeId="0">
      <text>
        <r>
          <rPr>
            <sz val="11"/>
            <color theme="1"/>
            <rFont val="Calibri"/>
            <family val="2"/>
            <scheme val="minor"/>
          </rPr>
          <t>Seleccione un valor de la lista</t>
        </r>
      </text>
    </comment>
    <comment ref="F418" authorId="1" shapeId="0">
      <text>
        <r>
          <rPr>
            <sz val="11"/>
            <color theme="1"/>
            <rFont val="Calibri"/>
            <family val="2"/>
            <scheme val="minor"/>
          </rPr>
          <t>Introduzca el código SNIP</t>
        </r>
      </text>
    </comment>
    <comment ref="C419" authorId="1" shapeId="0">
      <text>
        <r>
          <rPr>
            <sz val="11"/>
            <color theme="1"/>
            <rFont val="Calibri"/>
            <family val="2"/>
            <scheme val="minor"/>
          </rPr>
          <t>Introduzca la fecha de inicio del proceso, en formato dd-mm-aaaa</t>
        </r>
      </text>
    </comment>
    <comment ref="F4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text/>
    </comment>
    <comment ref="C421" authorId="1" shapeId="0">
      <text>
        <r>
          <rPr>
            <sz val="11"/>
            <color theme="1"/>
            <rFont val="Calibri"/>
            <family val="2"/>
            <scheme val="minor"/>
          </rPr>
          <t>Introduzca la fecha prevista de adjudicación, en formato dd-mm-aaaa</t>
        </r>
      </text>
    </comment>
    <comment ref="F421" authorId="1" shapeId="0">
      <text/>
    </comment>
    <comment ref="F422" authorId="1" shapeId="0">
      <text/>
    </comment>
    <comment ref="A424" authorId="1" shapeId="0">
      <text>
        <r>
          <rPr>
            <sz val="11"/>
            <color theme="1"/>
            <rFont val="Calibri"/>
            <family val="2"/>
            <scheme val="minor"/>
          </rPr>
          <t>Introduzca un codigo UNSPSC</t>
        </r>
      </text>
    </comment>
    <comment ref="B424" authorId="1" shapeId="0">
      <text>
        <r>
          <rPr>
            <sz val="11"/>
            <color theme="1"/>
            <rFont val="Calibri"/>
            <family val="2"/>
            <scheme val="minor"/>
          </rPr>
          <t>Descripción calculada automáticamente a partir de código del artículo</t>
        </r>
      </text>
    </comment>
    <comment ref="C424" authorId="1" shapeId="0">
      <text>
        <r>
          <rPr>
            <sz val="11"/>
            <color theme="1"/>
            <rFont val="Calibri"/>
            <family val="2"/>
            <scheme val="minor"/>
          </rPr>
          <t>Seleccione un valor de la lista</t>
        </r>
      </text>
    </comment>
    <comment ref="D424" authorId="1" shapeId="0">
      <text>
        <r>
          <rPr>
            <sz val="11"/>
            <color theme="1"/>
            <rFont val="Calibri"/>
            <family val="2"/>
            <scheme val="minor"/>
          </rPr>
          <t>Introduzca un número con dos decimales como máximo. Debe ser igual o mayor a la "Cantidad Real Consumida"</t>
        </r>
      </text>
    </comment>
    <comment ref="E424" authorId="1" shapeId="0">
      <text>
        <r>
          <rPr>
            <sz val="11"/>
            <color theme="1"/>
            <rFont val="Calibri"/>
            <family val="2"/>
            <scheme val="minor"/>
          </rPr>
          <t>Introduzca un número con dos decimales como máximo</t>
        </r>
      </text>
    </comment>
    <comment ref="F424" authorId="1" shapeId="0">
      <text>
        <r>
          <rPr>
            <sz val="11"/>
            <color theme="1"/>
            <rFont val="Calibri"/>
            <family val="2"/>
            <scheme val="minor"/>
          </rPr>
          <t>Monto calculado automáticamente por el sistema</t>
        </r>
      </text>
    </comment>
    <comment ref="A431" authorId="1" shapeId="0">
      <text>
        <r>
          <rPr>
            <sz val="11"/>
            <color theme="1"/>
            <rFont val="Calibri"/>
            <family val="2"/>
            <scheme val="minor"/>
          </rPr>
          <t>Introducir un texto con el nombre o referencia de la contratación</t>
        </r>
      </text>
    </comment>
    <comment ref="B431" authorId="1" shapeId="0">
      <text>
        <r>
          <rPr>
            <sz val="11"/>
            <color theme="1"/>
            <rFont val="Calibri"/>
            <family val="2"/>
            <scheme val="minor"/>
          </rPr>
          <t>Introduzca un texto con la finalidad de la contratación</t>
        </r>
      </text>
    </comment>
    <comment ref="C431" authorId="1" shapeId="0">
      <text>
        <r>
          <rPr>
            <sz val="11"/>
            <color theme="1"/>
            <rFont val="Calibri"/>
            <family val="2"/>
            <scheme val="minor"/>
          </rPr>
          <t>Seleccionar un valor del listado</t>
        </r>
      </text>
    </comment>
    <comment ref="D431" authorId="1" shapeId="0">
      <text>
        <r>
          <rPr>
            <sz val="11"/>
            <color theme="1"/>
            <rFont val="Calibri"/>
            <family val="2"/>
            <scheme val="minor"/>
          </rPr>
          <t>Seleccione el tipo de procedimiento</t>
        </r>
      </text>
    </comment>
    <comment ref="E431" authorId="1" shapeId="0">
      <text>
        <r>
          <rPr>
            <sz val="11"/>
            <color theme="1"/>
            <rFont val="Calibri"/>
            <family val="2"/>
            <scheme val="minor"/>
          </rPr>
          <t>Seleccione un valor de la lista</t>
        </r>
      </text>
    </comment>
    <comment ref="F431" authorId="1" shapeId="0">
      <text>
        <r>
          <rPr>
            <sz val="11"/>
            <color theme="1"/>
            <rFont val="Calibri"/>
            <family val="2"/>
            <scheme val="minor"/>
          </rPr>
          <t>Introduzca el código SNIP</t>
        </r>
      </text>
    </comment>
    <comment ref="C432" authorId="1" shapeId="0">
      <text>
        <r>
          <rPr>
            <sz val="11"/>
            <color theme="1"/>
            <rFont val="Calibri"/>
            <family val="2"/>
            <scheme val="minor"/>
          </rPr>
          <t>Introduzca la fecha de inicio del proceso, en formato dd-mm-aaaa</t>
        </r>
      </text>
    </comment>
    <comment ref="F4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text/>
    </comment>
    <comment ref="C434" authorId="1" shapeId="0">
      <text>
        <r>
          <rPr>
            <sz val="11"/>
            <color theme="1"/>
            <rFont val="Calibri"/>
            <family val="2"/>
            <scheme val="minor"/>
          </rPr>
          <t>Introduzca la fecha prevista de adjudicación, en formato dd-mm-aaaa</t>
        </r>
      </text>
    </comment>
    <comment ref="F434" authorId="1" shapeId="0">
      <text/>
    </comment>
    <comment ref="F435" authorId="1" shapeId="0">
      <text/>
    </comment>
    <comment ref="A437" authorId="1" shapeId="0">
      <text>
        <r>
          <rPr>
            <sz val="11"/>
            <color theme="1"/>
            <rFont val="Calibri"/>
            <family val="2"/>
            <scheme val="minor"/>
          </rPr>
          <t>Introduzca un codigo UNSPSC</t>
        </r>
      </text>
    </comment>
    <comment ref="B437" authorId="1" shapeId="0">
      <text>
        <r>
          <rPr>
            <sz val="11"/>
            <color theme="1"/>
            <rFont val="Calibri"/>
            <family val="2"/>
            <scheme val="minor"/>
          </rPr>
          <t>Descripción calculada automáticamente a partir de código del artículo</t>
        </r>
      </text>
    </comment>
    <comment ref="C437" authorId="1" shapeId="0">
      <text>
        <r>
          <rPr>
            <sz val="11"/>
            <color theme="1"/>
            <rFont val="Calibri"/>
            <family val="2"/>
            <scheme val="minor"/>
          </rPr>
          <t>Seleccione un valor de la lista</t>
        </r>
      </text>
    </comment>
    <comment ref="D437" authorId="1" shapeId="0">
      <text>
        <r>
          <rPr>
            <sz val="11"/>
            <color theme="1"/>
            <rFont val="Calibri"/>
            <family val="2"/>
            <scheme val="minor"/>
          </rPr>
          <t>Introduzca un número con dos decimales como máximo. Debe ser igual o mayor a la "Cantidad Real Consumida"</t>
        </r>
      </text>
    </comment>
    <comment ref="E437" authorId="1" shapeId="0">
      <text>
        <r>
          <rPr>
            <sz val="11"/>
            <color theme="1"/>
            <rFont val="Calibri"/>
            <family val="2"/>
            <scheme val="minor"/>
          </rPr>
          <t>Introduzca un número con dos decimales como máximo</t>
        </r>
      </text>
    </comment>
    <comment ref="F437" authorId="1" shapeId="0">
      <text>
        <r>
          <rPr>
            <sz val="11"/>
            <color theme="1"/>
            <rFont val="Calibri"/>
            <family val="2"/>
            <scheme val="minor"/>
          </rPr>
          <t>Monto calculado automáticamente por el sistema</t>
        </r>
      </text>
    </comment>
    <comment ref="A456" authorId="1" shapeId="0">
      <text>
        <r>
          <rPr>
            <sz val="11"/>
            <color theme="1"/>
            <rFont val="Calibri"/>
            <family val="2"/>
            <scheme val="minor"/>
          </rPr>
          <t>Introducir un texto con el nombre o referencia de la contratación</t>
        </r>
      </text>
    </comment>
    <comment ref="B456" authorId="1" shapeId="0">
      <text>
        <r>
          <rPr>
            <sz val="11"/>
            <color theme="1"/>
            <rFont val="Calibri"/>
            <family val="2"/>
            <scheme val="minor"/>
          </rPr>
          <t>Introduzca un texto con la finalidad de la contratación</t>
        </r>
      </text>
    </comment>
    <comment ref="C456" authorId="1" shapeId="0">
      <text>
        <r>
          <rPr>
            <sz val="11"/>
            <color theme="1"/>
            <rFont val="Calibri"/>
            <family val="2"/>
            <scheme val="minor"/>
          </rPr>
          <t>Seleccionar un valor del listado</t>
        </r>
      </text>
    </comment>
    <comment ref="D456" authorId="1" shapeId="0">
      <text>
        <r>
          <rPr>
            <sz val="11"/>
            <color theme="1"/>
            <rFont val="Calibri"/>
            <family val="2"/>
            <scheme val="minor"/>
          </rPr>
          <t>Seleccione el tipo de procedimiento</t>
        </r>
      </text>
    </comment>
    <comment ref="E456" authorId="1" shapeId="0">
      <text>
        <r>
          <rPr>
            <sz val="11"/>
            <color theme="1"/>
            <rFont val="Calibri"/>
            <family val="2"/>
            <scheme val="minor"/>
          </rPr>
          <t>Seleccione un valor de la lista</t>
        </r>
      </text>
    </comment>
    <comment ref="F456" authorId="1" shapeId="0">
      <text>
        <r>
          <rPr>
            <sz val="11"/>
            <color theme="1"/>
            <rFont val="Calibri"/>
            <family val="2"/>
            <scheme val="minor"/>
          </rPr>
          <t>Introduzca el código SNIP</t>
        </r>
      </text>
    </comment>
    <comment ref="C457" authorId="1" shapeId="0">
      <text>
        <r>
          <rPr>
            <sz val="11"/>
            <color theme="1"/>
            <rFont val="Calibri"/>
            <family val="2"/>
            <scheme val="minor"/>
          </rPr>
          <t>Introduzca la fecha de inicio del proceso, en formato dd-mm-aaaa</t>
        </r>
      </text>
    </comment>
    <comment ref="F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text/>
    </comment>
    <comment ref="C459" authorId="1" shapeId="0">
      <text>
        <r>
          <rPr>
            <sz val="11"/>
            <color theme="1"/>
            <rFont val="Calibri"/>
            <family val="2"/>
            <scheme val="minor"/>
          </rPr>
          <t>Introduzca la fecha prevista de adjudicación, en formato dd-mm-aaaa</t>
        </r>
      </text>
    </comment>
    <comment ref="F459" authorId="1" shapeId="0">
      <text/>
    </comment>
    <comment ref="F460" authorId="1" shapeId="0">
      <text/>
    </comment>
    <comment ref="A462" authorId="1" shapeId="0">
      <text>
        <r>
          <rPr>
            <sz val="11"/>
            <color theme="1"/>
            <rFont val="Calibri"/>
            <family val="2"/>
            <scheme val="minor"/>
          </rPr>
          <t>Introduzca un codigo UNSPSC</t>
        </r>
      </text>
    </comment>
    <comment ref="B462" authorId="1" shapeId="0">
      <text>
        <r>
          <rPr>
            <sz val="11"/>
            <color theme="1"/>
            <rFont val="Calibri"/>
            <family val="2"/>
            <scheme val="minor"/>
          </rPr>
          <t>Descripción calculada automáticamente a partir de código del artículo</t>
        </r>
      </text>
    </comment>
    <comment ref="C462" authorId="1" shapeId="0">
      <text>
        <r>
          <rPr>
            <sz val="11"/>
            <color theme="1"/>
            <rFont val="Calibri"/>
            <family val="2"/>
            <scheme val="minor"/>
          </rPr>
          <t>Seleccione un valor de la lista</t>
        </r>
      </text>
    </comment>
    <comment ref="D462" authorId="1" shapeId="0">
      <text>
        <r>
          <rPr>
            <sz val="11"/>
            <color theme="1"/>
            <rFont val="Calibri"/>
            <family val="2"/>
            <scheme val="minor"/>
          </rPr>
          <t>Introduzca un número con dos decimales como máximo. Debe ser igual o mayor a la "Cantidad Real Consumida"</t>
        </r>
      </text>
    </comment>
    <comment ref="E462" authorId="1" shapeId="0">
      <text>
        <r>
          <rPr>
            <sz val="11"/>
            <color theme="1"/>
            <rFont val="Calibri"/>
            <family val="2"/>
            <scheme val="minor"/>
          </rPr>
          <t>Introduzca un número con dos decimales como máximo</t>
        </r>
      </text>
    </comment>
    <comment ref="F462" authorId="1" shapeId="0">
      <text>
        <r>
          <rPr>
            <sz val="11"/>
            <color theme="1"/>
            <rFont val="Calibri"/>
            <family val="2"/>
            <scheme val="minor"/>
          </rPr>
          <t>Monto calculado automáticamente por el sistema</t>
        </r>
      </text>
    </comment>
    <comment ref="A489" authorId="1" shapeId="0">
      <text>
        <r>
          <rPr>
            <sz val="11"/>
            <color theme="1"/>
            <rFont val="Calibri"/>
            <family val="2"/>
            <scheme val="minor"/>
          </rPr>
          <t>Introducir un texto con el nombre o referencia de la contratación</t>
        </r>
      </text>
    </comment>
    <comment ref="B489" authorId="1" shapeId="0">
      <text>
        <r>
          <rPr>
            <sz val="11"/>
            <color theme="1"/>
            <rFont val="Calibri"/>
            <family val="2"/>
            <scheme val="minor"/>
          </rPr>
          <t>Introduzca un texto con la finalidad de la contratación</t>
        </r>
      </text>
    </comment>
    <comment ref="C489" authorId="1" shapeId="0">
      <text>
        <r>
          <rPr>
            <sz val="11"/>
            <color theme="1"/>
            <rFont val="Calibri"/>
            <family val="2"/>
            <scheme val="minor"/>
          </rPr>
          <t>Seleccionar un valor del listado</t>
        </r>
      </text>
    </comment>
    <comment ref="D489" authorId="1" shapeId="0">
      <text>
        <r>
          <rPr>
            <sz val="11"/>
            <color theme="1"/>
            <rFont val="Calibri"/>
            <family val="2"/>
            <scheme val="minor"/>
          </rPr>
          <t>Seleccione el tipo de procedimiento</t>
        </r>
      </text>
    </comment>
    <comment ref="E489" authorId="1" shapeId="0">
      <text>
        <r>
          <rPr>
            <sz val="11"/>
            <color theme="1"/>
            <rFont val="Calibri"/>
            <family val="2"/>
            <scheme val="minor"/>
          </rPr>
          <t>Seleccione un valor de la lista</t>
        </r>
      </text>
    </comment>
    <comment ref="F489" authorId="1" shapeId="0">
      <text>
        <r>
          <rPr>
            <sz val="11"/>
            <color theme="1"/>
            <rFont val="Calibri"/>
            <family val="2"/>
            <scheme val="minor"/>
          </rPr>
          <t>Introduzca el código SNIP</t>
        </r>
      </text>
    </comment>
    <comment ref="C490" authorId="1" shapeId="0">
      <text>
        <r>
          <rPr>
            <sz val="11"/>
            <color theme="1"/>
            <rFont val="Calibri"/>
            <family val="2"/>
            <scheme val="minor"/>
          </rPr>
          <t>Introduzca la fecha de inicio del proceso, en formato dd-mm-aaaa</t>
        </r>
      </text>
    </comment>
    <comment ref="F4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text/>
    </comment>
    <comment ref="C492" authorId="1" shapeId="0">
      <text>
        <r>
          <rPr>
            <sz val="11"/>
            <color theme="1"/>
            <rFont val="Calibri"/>
            <family val="2"/>
            <scheme val="minor"/>
          </rPr>
          <t>Introduzca la fecha prevista de adjudicación, en formato dd-mm-aaaa</t>
        </r>
      </text>
    </comment>
    <comment ref="F492" authorId="1" shapeId="0">
      <text/>
    </comment>
    <comment ref="F493" authorId="1" shapeId="0">
      <text/>
    </comment>
    <comment ref="A495" authorId="1" shapeId="0">
      <text>
        <r>
          <rPr>
            <sz val="11"/>
            <color theme="1"/>
            <rFont val="Calibri"/>
            <family val="2"/>
            <scheme val="minor"/>
          </rPr>
          <t>Introduzca un codigo UNSPSC</t>
        </r>
      </text>
    </comment>
    <comment ref="B495" authorId="1" shapeId="0">
      <text>
        <r>
          <rPr>
            <sz val="11"/>
            <color theme="1"/>
            <rFont val="Calibri"/>
            <family val="2"/>
            <scheme val="minor"/>
          </rPr>
          <t>Descripción calculada automáticamente a partir de código del artículo</t>
        </r>
      </text>
    </comment>
    <comment ref="C495" authorId="1" shapeId="0">
      <text>
        <r>
          <rPr>
            <sz val="11"/>
            <color theme="1"/>
            <rFont val="Calibri"/>
            <family val="2"/>
            <scheme val="minor"/>
          </rPr>
          <t>Seleccione un valor de la lista</t>
        </r>
      </text>
    </comment>
    <comment ref="D495" authorId="1" shapeId="0">
      <text>
        <r>
          <rPr>
            <sz val="11"/>
            <color theme="1"/>
            <rFont val="Calibri"/>
            <family val="2"/>
            <scheme val="minor"/>
          </rPr>
          <t>Introduzca un número con dos decimales como máximo. Debe ser igual o mayor a la "Cantidad Real Consumida"</t>
        </r>
      </text>
    </comment>
    <comment ref="E495" authorId="1" shapeId="0">
      <text>
        <r>
          <rPr>
            <sz val="11"/>
            <color theme="1"/>
            <rFont val="Calibri"/>
            <family val="2"/>
            <scheme val="minor"/>
          </rPr>
          <t>Introduzca un número con dos decimales como máximo</t>
        </r>
      </text>
    </comment>
    <comment ref="F495" authorId="1" shapeId="0">
      <text>
        <r>
          <rPr>
            <sz val="11"/>
            <color theme="1"/>
            <rFont val="Calibri"/>
            <family val="2"/>
            <scheme val="minor"/>
          </rPr>
          <t>Monto calculado automáticamente por el sistema</t>
        </r>
      </text>
    </comment>
    <comment ref="A513" authorId="1" shapeId="0">
      <text>
        <r>
          <rPr>
            <sz val="11"/>
            <color theme="1"/>
            <rFont val="Calibri"/>
            <family val="2"/>
            <scheme val="minor"/>
          </rPr>
          <t>Introducir un texto con el nombre o referencia de la contratación</t>
        </r>
      </text>
    </comment>
    <comment ref="B513" authorId="1" shapeId="0">
      <text>
        <r>
          <rPr>
            <sz val="11"/>
            <color theme="1"/>
            <rFont val="Calibri"/>
            <family val="2"/>
            <scheme val="minor"/>
          </rPr>
          <t>Introduzca un texto con la finalidad de la contratación</t>
        </r>
      </text>
    </comment>
    <comment ref="C513" authorId="1" shapeId="0">
      <text>
        <r>
          <rPr>
            <sz val="11"/>
            <color theme="1"/>
            <rFont val="Calibri"/>
            <family val="2"/>
            <scheme val="minor"/>
          </rPr>
          <t>Seleccionar un valor del listado</t>
        </r>
      </text>
    </comment>
    <comment ref="D513" authorId="1" shapeId="0">
      <text>
        <r>
          <rPr>
            <sz val="11"/>
            <color theme="1"/>
            <rFont val="Calibri"/>
            <family val="2"/>
            <scheme val="minor"/>
          </rPr>
          <t>Seleccione el tipo de procedimiento</t>
        </r>
      </text>
    </comment>
    <comment ref="E513" authorId="1" shapeId="0">
      <text>
        <r>
          <rPr>
            <sz val="11"/>
            <color theme="1"/>
            <rFont val="Calibri"/>
            <family val="2"/>
            <scheme val="minor"/>
          </rPr>
          <t>Seleccione un valor de la lista</t>
        </r>
      </text>
    </comment>
    <comment ref="F513" authorId="1" shapeId="0">
      <text>
        <r>
          <rPr>
            <sz val="11"/>
            <color theme="1"/>
            <rFont val="Calibri"/>
            <family val="2"/>
            <scheme val="minor"/>
          </rPr>
          <t>Introduzca el código SNIP</t>
        </r>
      </text>
    </comment>
    <comment ref="C514" authorId="1" shapeId="0">
      <text>
        <r>
          <rPr>
            <sz val="11"/>
            <color theme="1"/>
            <rFont val="Calibri"/>
            <family val="2"/>
            <scheme val="minor"/>
          </rPr>
          <t>Introduzca la fecha de inicio del proceso, en formato dd-mm-aaaa</t>
        </r>
      </text>
    </comment>
    <comment ref="F5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text/>
    </comment>
    <comment ref="C516" authorId="1" shapeId="0">
      <text>
        <r>
          <rPr>
            <sz val="11"/>
            <color theme="1"/>
            <rFont val="Calibri"/>
            <family val="2"/>
            <scheme val="minor"/>
          </rPr>
          <t>Introduzca la fecha prevista de adjudicación, en formato dd-mm-aaaa</t>
        </r>
      </text>
    </comment>
    <comment ref="F516" authorId="1" shapeId="0">
      <text/>
    </comment>
    <comment ref="F517" authorId="1" shapeId="0">
      <text/>
    </comment>
    <comment ref="A519" authorId="1" shapeId="0">
      <text>
        <r>
          <rPr>
            <sz val="11"/>
            <color theme="1"/>
            <rFont val="Calibri"/>
            <family val="2"/>
            <scheme val="minor"/>
          </rPr>
          <t>Introduzca un codigo UNSPSC</t>
        </r>
      </text>
    </comment>
    <comment ref="B519" authorId="1" shapeId="0">
      <text>
        <r>
          <rPr>
            <sz val="11"/>
            <color theme="1"/>
            <rFont val="Calibri"/>
            <family val="2"/>
            <scheme val="minor"/>
          </rPr>
          <t>Descripción calculada automáticamente a partir de código del artículo</t>
        </r>
      </text>
    </comment>
    <comment ref="C519" authorId="1" shapeId="0">
      <text>
        <r>
          <rPr>
            <sz val="11"/>
            <color theme="1"/>
            <rFont val="Calibri"/>
            <family val="2"/>
            <scheme val="minor"/>
          </rPr>
          <t>Seleccione un valor de la lista</t>
        </r>
      </text>
    </comment>
    <comment ref="D519" authorId="1" shapeId="0">
      <text>
        <r>
          <rPr>
            <sz val="11"/>
            <color theme="1"/>
            <rFont val="Calibri"/>
            <family val="2"/>
            <scheme val="minor"/>
          </rPr>
          <t>Introduzca un número con dos decimales como máximo. Debe ser igual o mayor a la "Cantidad Real Consumida"</t>
        </r>
      </text>
    </comment>
    <comment ref="E519" authorId="1" shapeId="0">
      <text>
        <r>
          <rPr>
            <sz val="11"/>
            <color theme="1"/>
            <rFont val="Calibri"/>
            <family val="2"/>
            <scheme val="minor"/>
          </rPr>
          <t>Introduzca un número con dos decimales como máximo</t>
        </r>
      </text>
    </comment>
    <comment ref="F519" authorId="1" shapeId="0">
      <text>
        <r>
          <rPr>
            <sz val="11"/>
            <color theme="1"/>
            <rFont val="Calibri"/>
            <family val="2"/>
            <scheme val="minor"/>
          </rPr>
          <t>Monto calculado automáticamente por el sistema</t>
        </r>
      </text>
    </comment>
    <comment ref="A531" authorId="1" shapeId="0">
      <text>
        <r>
          <rPr>
            <sz val="11"/>
            <color theme="1"/>
            <rFont val="Calibri"/>
            <family val="2"/>
            <scheme val="minor"/>
          </rPr>
          <t>Introducir un texto con el nombre o referencia de la contratación</t>
        </r>
      </text>
    </comment>
    <comment ref="B531" authorId="1" shapeId="0">
      <text>
        <r>
          <rPr>
            <sz val="11"/>
            <color theme="1"/>
            <rFont val="Calibri"/>
            <family val="2"/>
            <scheme val="minor"/>
          </rPr>
          <t>Introduzca un texto con la finalidad de la contratación</t>
        </r>
      </text>
    </comment>
    <comment ref="C531" authorId="1" shapeId="0">
      <text>
        <r>
          <rPr>
            <sz val="11"/>
            <color theme="1"/>
            <rFont val="Calibri"/>
            <family val="2"/>
            <scheme val="minor"/>
          </rPr>
          <t>Seleccionar un valor del listado</t>
        </r>
      </text>
    </comment>
    <comment ref="D531" authorId="1" shapeId="0">
      <text>
        <r>
          <rPr>
            <sz val="11"/>
            <color theme="1"/>
            <rFont val="Calibri"/>
            <family val="2"/>
            <scheme val="minor"/>
          </rPr>
          <t>Seleccione el tipo de procedimiento</t>
        </r>
      </text>
    </comment>
    <comment ref="E531" authorId="1" shapeId="0">
      <text>
        <r>
          <rPr>
            <sz val="11"/>
            <color theme="1"/>
            <rFont val="Calibri"/>
            <family val="2"/>
            <scheme val="minor"/>
          </rPr>
          <t>Seleccione un valor de la lista</t>
        </r>
      </text>
    </comment>
    <comment ref="F531" authorId="1" shapeId="0">
      <text>
        <r>
          <rPr>
            <sz val="11"/>
            <color theme="1"/>
            <rFont val="Calibri"/>
            <family val="2"/>
            <scheme val="minor"/>
          </rPr>
          <t>Introduzca el código SNIP</t>
        </r>
      </text>
    </comment>
    <comment ref="C532" authorId="1" shapeId="0">
      <text>
        <r>
          <rPr>
            <sz val="11"/>
            <color theme="1"/>
            <rFont val="Calibri"/>
            <family val="2"/>
            <scheme val="minor"/>
          </rPr>
          <t>Introduzca la fecha de inicio del proceso, en formato dd-mm-aaaa</t>
        </r>
      </text>
    </comment>
    <comment ref="F5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1" shapeId="0">
      <text/>
    </comment>
    <comment ref="C534" authorId="1" shapeId="0">
      <text>
        <r>
          <rPr>
            <sz val="11"/>
            <color theme="1"/>
            <rFont val="Calibri"/>
            <family val="2"/>
            <scheme val="minor"/>
          </rPr>
          <t>Introduzca la fecha prevista de adjudicación, en formato dd-mm-aaaa</t>
        </r>
      </text>
    </comment>
    <comment ref="F534" authorId="1" shapeId="0">
      <text/>
    </comment>
    <comment ref="F535" authorId="1" shapeId="0">
      <text/>
    </comment>
    <comment ref="A537" authorId="1" shapeId="0">
      <text>
        <r>
          <rPr>
            <sz val="11"/>
            <color theme="1"/>
            <rFont val="Calibri"/>
            <family val="2"/>
            <scheme val="minor"/>
          </rPr>
          <t>Introduzca un codigo UNSPSC</t>
        </r>
      </text>
    </comment>
    <comment ref="B537" authorId="1" shapeId="0">
      <text>
        <r>
          <rPr>
            <sz val="11"/>
            <color theme="1"/>
            <rFont val="Calibri"/>
            <family val="2"/>
            <scheme val="minor"/>
          </rPr>
          <t>Descripción calculada automáticamente a partir de código del artículo</t>
        </r>
      </text>
    </comment>
    <comment ref="C537" authorId="1" shapeId="0">
      <text>
        <r>
          <rPr>
            <sz val="11"/>
            <color theme="1"/>
            <rFont val="Calibri"/>
            <family val="2"/>
            <scheme val="minor"/>
          </rPr>
          <t>Seleccione un valor de la lista</t>
        </r>
      </text>
    </comment>
    <comment ref="D537" authorId="1" shapeId="0">
      <text>
        <r>
          <rPr>
            <sz val="11"/>
            <color theme="1"/>
            <rFont val="Calibri"/>
            <family val="2"/>
            <scheme val="minor"/>
          </rPr>
          <t>Introduzca un número con dos decimales como máximo. Debe ser igual o mayor a la "Cantidad Real Consumida"</t>
        </r>
      </text>
    </comment>
    <comment ref="E537" authorId="1" shapeId="0">
      <text>
        <r>
          <rPr>
            <sz val="11"/>
            <color theme="1"/>
            <rFont val="Calibri"/>
            <family val="2"/>
            <scheme val="minor"/>
          </rPr>
          <t>Introduzca un número con dos decimales como máximo</t>
        </r>
      </text>
    </comment>
    <comment ref="F537" authorId="1" shapeId="0">
      <text>
        <r>
          <rPr>
            <sz val="11"/>
            <color theme="1"/>
            <rFont val="Calibri"/>
            <family val="2"/>
            <scheme val="minor"/>
          </rPr>
          <t>Monto calculado automáticamente por el sistema</t>
        </r>
      </text>
    </comment>
    <comment ref="A549" authorId="1" shapeId="0">
      <text>
        <r>
          <rPr>
            <sz val="11"/>
            <color theme="1"/>
            <rFont val="Calibri"/>
            <family val="2"/>
            <scheme val="minor"/>
          </rPr>
          <t>Introducir un texto con el nombre o referencia de la contratación</t>
        </r>
      </text>
    </comment>
    <comment ref="B549" authorId="1" shapeId="0">
      <text>
        <r>
          <rPr>
            <sz val="11"/>
            <color theme="1"/>
            <rFont val="Calibri"/>
            <family val="2"/>
            <scheme val="minor"/>
          </rPr>
          <t>Introduzca un texto con la finalidad de la contratación</t>
        </r>
      </text>
    </comment>
    <comment ref="C549" authorId="1" shapeId="0">
      <text>
        <r>
          <rPr>
            <sz val="11"/>
            <color theme="1"/>
            <rFont val="Calibri"/>
            <family val="2"/>
            <scheme val="minor"/>
          </rPr>
          <t>Seleccionar un valor del listado</t>
        </r>
      </text>
    </comment>
    <comment ref="D549" authorId="1" shapeId="0">
      <text>
        <r>
          <rPr>
            <sz val="11"/>
            <color theme="1"/>
            <rFont val="Calibri"/>
            <family val="2"/>
            <scheme val="minor"/>
          </rPr>
          <t>Seleccione el tipo de procedimiento</t>
        </r>
      </text>
    </comment>
    <comment ref="E549" authorId="1" shapeId="0">
      <text>
        <r>
          <rPr>
            <sz val="11"/>
            <color theme="1"/>
            <rFont val="Calibri"/>
            <family val="2"/>
            <scheme val="minor"/>
          </rPr>
          <t>Seleccione un valor de la lista</t>
        </r>
      </text>
    </comment>
    <comment ref="F549" authorId="1" shapeId="0">
      <text>
        <r>
          <rPr>
            <sz val="11"/>
            <color theme="1"/>
            <rFont val="Calibri"/>
            <family val="2"/>
            <scheme val="minor"/>
          </rPr>
          <t>Introduzca el código SNIP</t>
        </r>
      </text>
    </comment>
    <comment ref="C550" authorId="1" shapeId="0">
      <text>
        <r>
          <rPr>
            <sz val="11"/>
            <color theme="1"/>
            <rFont val="Calibri"/>
            <family val="2"/>
            <scheme val="minor"/>
          </rPr>
          <t>Introduzca la fecha de inicio del proceso, en formato dd-mm-aaaa</t>
        </r>
      </text>
    </comment>
    <comment ref="F5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1" shapeId="0">
      <text/>
    </comment>
    <comment ref="C552" authorId="1" shapeId="0">
      <text>
        <r>
          <rPr>
            <sz val="11"/>
            <color theme="1"/>
            <rFont val="Calibri"/>
            <family val="2"/>
            <scheme val="minor"/>
          </rPr>
          <t>Introduzca la fecha prevista de adjudicación, en formato dd-mm-aaaa</t>
        </r>
      </text>
    </comment>
    <comment ref="F552" authorId="1" shapeId="0">
      <text/>
    </comment>
    <comment ref="F553" authorId="1" shapeId="0">
      <text/>
    </comment>
    <comment ref="A555" authorId="1" shapeId="0">
      <text>
        <r>
          <rPr>
            <sz val="11"/>
            <color theme="1"/>
            <rFont val="Calibri"/>
            <family val="2"/>
            <scheme val="minor"/>
          </rPr>
          <t>Introduzca un codigo UNSPSC</t>
        </r>
      </text>
    </comment>
    <comment ref="B555" authorId="1" shapeId="0">
      <text>
        <r>
          <rPr>
            <sz val="11"/>
            <color theme="1"/>
            <rFont val="Calibri"/>
            <family val="2"/>
            <scheme val="minor"/>
          </rPr>
          <t>Descripción calculada automáticamente a partir de código del artículo</t>
        </r>
      </text>
    </comment>
    <comment ref="C555" authorId="1" shapeId="0">
      <text>
        <r>
          <rPr>
            <sz val="11"/>
            <color theme="1"/>
            <rFont val="Calibri"/>
            <family val="2"/>
            <scheme val="minor"/>
          </rPr>
          <t>Seleccione un valor de la lista</t>
        </r>
      </text>
    </comment>
    <comment ref="D555" authorId="1" shapeId="0">
      <text>
        <r>
          <rPr>
            <sz val="11"/>
            <color theme="1"/>
            <rFont val="Calibri"/>
            <family val="2"/>
            <scheme val="minor"/>
          </rPr>
          <t>Introduzca un número con dos decimales como máximo. Debe ser igual o mayor a la "Cantidad Real Consumida"</t>
        </r>
      </text>
    </comment>
    <comment ref="E555" authorId="1" shapeId="0">
      <text>
        <r>
          <rPr>
            <sz val="11"/>
            <color theme="1"/>
            <rFont val="Calibri"/>
            <family val="2"/>
            <scheme val="minor"/>
          </rPr>
          <t>Introduzca un número con dos decimales como máximo</t>
        </r>
      </text>
    </comment>
    <comment ref="F555" authorId="1" shapeId="0">
      <text>
        <r>
          <rPr>
            <sz val="11"/>
            <color theme="1"/>
            <rFont val="Calibri"/>
            <family val="2"/>
            <scheme val="minor"/>
          </rPr>
          <t>Monto calculado automáticamente por el sistema</t>
        </r>
      </text>
    </comment>
    <comment ref="A561" authorId="1" shapeId="0">
      <text>
        <r>
          <rPr>
            <sz val="11"/>
            <color theme="1"/>
            <rFont val="Calibri"/>
            <family val="2"/>
            <scheme val="minor"/>
          </rPr>
          <t>Introducir un texto con el nombre o referencia de la contratación</t>
        </r>
      </text>
    </comment>
    <comment ref="B561" authorId="1" shapeId="0">
      <text>
        <r>
          <rPr>
            <sz val="11"/>
            <color theme="1"/>
            <rFont val="Calibri"/>
            <family val="2"/>
            <scheme val="minor"/>
          </rPr>
          <t>Introduzca un texto con la finalidad de la contratación</t>
        </r>
      </text>
    </comment>
    <comment ref="C561" authorId="1" shapeId="0">
      <text>
        <r>
          <rPr>
            <sz val="11"/>
            <color theme="1"/>
            <rFont val="Calibri"/>
            <family val="2"/>
            <scheme val="minor"/>
          </rPr>
          <t>Seleccionar un valor del listado</t>
        </r>
      </text>
    </comment>
    <comment ref="D561" authorId="1" shapeId="0">
      <text>
        <r>
          <rPr>
            <sz val="11"/>
            <color theme="1"/>
            <rFont val="Calibri"/>
            <family val="2"/>
            <scheme val="minor"/>
          </rPr>
          <t>Seleccione el tipo de procedimiento</t>
        </r>
      </text>
    </comment>
    <comment ref="E561" authorId="1" shapeId="0">
      <text>
        <r>
          <rPr>
            <sz val="11"/>
            <color theme="1"/>
            <rFont val="Calibri"/>
            <family val="2"/>
            <scheme val="minor"/>
          </rPr>
          <t>Seleccione un valor de la lista</t>
        </r>
      </text>
    </comment>
    <comment ref="F561" authorId="1" shapeId="0">
      <text>
        <r>
          <rPr>
            <sz val="11"/>
            <color theme="1"/>
            <rFont val="Calibri"/>
            <family val="2"/>
            <scheme val="minor"/>
          </rPr>
          <t>Introduzca el código SNIP</t>
        </r>
      </text>
    </comment>
    <comment ref="C562" authorId="1" shapeId="0">
      <text>
        <r>
          <rPr>
            <sz val="11"/>
            <color theme="1"/>
            <rFont val="Calibri"/>
            <family val="2"/>
            <scheme val="minor"/>
          </rPr>
          <t>Introduzca la fecha de inicio del proceso, en formato dd-mm-aaaa</t>
        </r>
      </text>
    </comment>
    <comment ref="F5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3" authorId="1" shapeId="0">
      <text/>
    </comment>
    <comment ref="C564" authorId="1" shapeId="0">
      <text>
        <r>
          <rPr>
            <sz val="11"/>
            <color theme="1"/>
            <rFont val="Calibri"/>
            <family val="2"/>
            <scheme val="minor"/>
          </rPr>
          <t>Introduzca la fecha prevista de adjudicación, en formato dd-mm-aaaa</t>
        </r>
      </text>
    </comment>
    <comment ref="F564" authorId="1" shapeId="0">
      <text/>
    </comment>
    <comment ref="F565" authorId="1" shapeId="0">
      <text/>
    </comment>
    <comment ref="A567" authorId="1" shapeId="0">
      <text>
        <r>
          <rPr>
            <sz val="11"/>
            <color theme="1"/>
            <rFont val="Calibri"/>
            <family val="2"/>
            <scheme val="minor"/>
          </rPr>
          <t>Introduzca un codigo UNSPSC</t>
        </r>
      </text>
    </comment>
    <comment ref="B567" authorId="1" shapeId="0">
      <text>
        <r>
          <rPr>
            <sz val="11"/>
            <color theme="1"/>
            <rFont val="Calibri"/>
            <family val="2"/>
            <scheme val="minor"/>
          </rPr>
          <t>Descripción calculada automáticamente a partir de código del artículo</t>
        </r>
      </text>
    </comment>
    <comment ref="C567" authorId="1" shapeId="0">
      <text>
        <r>
          <rPr>
            <sz val="11"/>
            <color theme="1"/>
            <rFont val="Calibri"/>
            <family val="2"/>
            <scheme val="minor"/>
          </rPr>
          <t>Seleccione un valor de la lista</t>
        </r>
      </text>
    </comment>
    <comment ref="D567" authorId="1" shapeId="0">
      <text>
        <r>
          <rPr>
            <sz val="11"/>
            <color theme="1"/>
            <rFont val="Calibri"/>
            <family val="2"/>
            <scheme val="minor"/>
          </rPr>
          <t>Introduzca un número con dos decimales como máximo. Debe ser igual o mayor a la "Cantidad Real Consumida"</t>
        </r>
      </text>
    </comment>
    <comment ref="E567" authorId="1" shapeId="0">
      <text>
        <r>
          <rPr>
            <sz val="11"/>
            <color theme="1"/>
            <rFont val="Calibri"/>
            <family val="2"/>
            <scheme val="minor"/>
          </rPr>
          <t>Introduzca un número con dos decimales como máximo</t>
        </r>
      </text>
    </comment>
    <comment ref="F567" authorId="1" shapeId="0">
      <text>
        <r>
          <rPr>
            <sz val="11"/>
            <color theme="1"/>
            <rFont val="Calibri"/>
            <family val="2"/>
            <scheme val="minor"/>
          </rPr>
          <t>Monto calculado automáticamente por el sistema</t>
        </r>
      </text>
    </comment>
    <comment ref="A575" authorId="1" shapeId="0">
      <text>
        <r>
          <rPr>
            <sz val="11"/>
            <color theme="1"/>
            <rFont val="Calibri"/>
            <family val="2"/>
            <scheme val="minor"/>
          </rPr>
          <t>Introducir un texto con el nombre o referencia de la contratación</t>
        </r>
      </text>
    </comment>
    <comment ref="B575" authorId="1" shapeId="0">
      <text>
        <r>
          <rPr>
            <sz val="11"/>
            <color theme="1"/>
            <rFont val="Calibri"/>
            <family val="2"/>
            <scheme val="minor"/>
          </rPr>
          <t>Introduzca un texto con la finalidad de la contratación</t>
        </r>
      </text>
    </comment>
    <comment ref="C575" authorId="1" shapeId="0">
      <text>
        <r>
          <rPr>
            <sz val="11"/>
            <color theme="1"/>
            <rFont val="Calibri"/>
            <family val="2"/>
            <scheme val="minor"/>
          </rPr>
          <t>Seleccionar un valor del listado</t>
        </r>
      </text>
    </comment>
    <comment ref="D575" authorId="1" shapeId="0">
      <text>
        <r>
          <rPr>
            <sz val="11"/>
            <color theme="1"/>
            <rFont val="Calibri"/>
            <family val="2"/>
            <scheme val="minor"/>
          </rPr>
          <t>Seleccione el tipo de procedimiento</t>
        </r>
      </text>
    </comment>
    <comment ref="E575" authorId="1" shapeId="0">
      <text>
        <r>
          <rPr>
            <sz val="11"/>
            <color theme="1"/>
            <rFont val="Calibri"/>
            <family val="2"/>
            <scheme val="minor"/>
          </rPr>
          <t>Seleccione un valor de la lista</t>
        </r>
      </text>
    </comment>
    <comment ref="F575" authorId="1" shapeId="0">
      <text>
        <r>
          <rPr>
            <sz val="11"/>
            <color theme="1"/>
            <rFont val="Calibri"/>
            <family val="2"/>
            <scheme val="minor"/>
          </rPr>
          <t>Introduzca el código SNIP</t>
        </r>
      </text>
    </comment>
    <comment ref="C576" authorId="1" shapeId="0">
      <text>
        <r>
          <rPr>
            <sz val="11"/>
            <color theme="1"/>
            <rFont val="Calibri"/>
            <family val="2"/>
            <scheme val="minor"/>
          </rPr>
          <t>Introduzca la fecha de inicio del proceso, en formato dd-mm-aaaa</t>
        </r>
      </text>
    </comment>
    <comment ref="F5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text/>
    </comment>
    <comment ref="C578" authorId="1" shapeId="0">
      <text>
        <r>
          <rPr>
            <sz val="11"/>
            <color theme="1"/>
            <rFont val="Calibri"/>
            <family val="2"/>
            <scheme val="minor"/>
          </rPr>
          <t>Introduzca la fecha prevista de adjudicación, en formato dd-mm-aaaa</t>
        </r>
      </text>
    </comment>
    <comment ref="F578" authorId="1" shapeId="0">
      <text/>
    </comment>
    <comment ref="F579" authorId="1" shapeId="0">
      <text/>
    </comment>
    <comment ref="A581" authorId="1" shapeId="0">
      <text>
        <r>
          <rPr>
            <sz val="11"/>
            <color theme="1"/>
            <rFont val="Calibri"/>
            <family val="2"/>
            <scheme val="minor"/>
          </rPr>
          <t>Introduzca un codigo UNSPSC</t>
        </r>
      </text>
    </comment>
    <comment ref="B581" authorId="1" shapeId="0">
      <text>
        <r>
          <rPr>
            <sz val="11"/>
            <color theme="1"/>
            <rFont val="Calibri"/>
            <family val="2"/>
            <scheme val="minor"/>
          </rPr>
          <t>Descripción calculada automáticamente a partir de código del artículo</t>
        </r>
      </text>
    </comment>
    <comment ref="C581" authorId="1" shapeId="0">
      <text>
        <r>
          <rPr>
            <sz val="11"/>
            <color theme="1"/>
            <rFont val="Calibri"/>
            <family val="2"/>
            <scheme val="minor"/>
          </rPr>
          <t>Seleccione un valor de la lista</t>
        </r>
      </text>
    </comment>
    <comment ref="D581" authorId="1" shapeId="0">
      <text>
        <r>
          <rPr>
            <sz val="11"/>
            <color theme="1"/>
            <rFont val="Calibri"/>
            <family val="2"/>
            <scheme val="minor"/>
          </rPr>
          <t>Introduzca un número con dos decimales como máximo. Debe ser igual o mayor a la "Cantidad Real Consumida"</t>
        </r>
      </text>
    </comment>
    <comment ref="E581" authorId="1" shapeId="0">
      <text>
        <r>
          <rPr>
            <sz val="11"/>
            <color theme="1"/>
            <rFont val="Calibri"/>
            <family val="2"/>
            <scheme val="minor"/>
          </rPr>
          <t>Introduzca un número con dos decimales como máximo</t>
        </r>
      </text>
    </comment>
    <comment ref="F581" authorId="1" shapeId="0">
      <text>
        <r>
          <rPr>
            <sz val="11"/>
            <color theme="1"/>
            <rFont val="Calibri"/>
            <family val="2"/>
            <scheme val="minor"/>
          </rPr>
          <t>Monto calculado automáticamente por el sistema</t>
        </r>
      </text>
    </comment>
    <comment ref="A589" authorId="1" shapeId="0">
      <text>
        <r>
          <rPr>
            <sz val="11"/>
            <color theme="1"/>
            <rFont val="Calibri"/>
            <family val="2"/>
            <scheme val="minor"/>
          </rPr>
          <t>Introducir un texto con el nombre o referencia de la contratación</t>
        </r>
      </text>
    </comment>
    <comment ref="B589" authorId="1" shapeId="0">
      <text>
        <r>
          <rPr>
            <sz val="11"/>
            <color theme="1"/>
            <rFont val="Calibri"/>
            <family val="2"/>
            <scheme val="minor"/>
          </rPr>
          <t>Introduzca un texto con la finalidad de la contratación</t>
        </r>
      </text>
    </comment>
    <comment ref="C589" authorId="1" shapeId="0">
      <text>
        <r>
          <rPr>
            <sz val="11"/>
            <color theme="1"/>
            <rFont val="Calibri"/>
            <family val="2"/>
            <scheme val="minor"/>
          </rPr>
          <t>Seleccionar un valor del listado</t>
        </r>
      </text>
    </comment>
    <comment ref="D589" authorId="1" shapeId="0">
      <text>
        <r>
          <rPr>
            <sz val="11"/>
            <color theme="1"/>
            <rFont val="Calibri"/>
            <family val="2"/>
            <scheme val="minor"/>
          </rPr>
          <t>Seleccione el tipo de procedimiento</t>
        </r>
      </text>
    </comment>
    <comment ref="E589" authorId="1" shapeId="0">
      <text>
        <r>
          <rPr>
            <sz val="11"/>
            <color theme="1"/>
            <rFont val="Calibri"/>
            <family val="2"/>
            <scheme val="minor"/>
          </rPr>
          <t>Seleccione un valor de la lista</t>
        </r>
      </text>
    </comment>
    <comment ref="F589" authorId="1" shapeId="0">
      <text>
        <r>
          <rPr>
            <sz val="11"/>
            <color theme="1"/>
            <rFont val="Calibri"/>
            <family val="2"/>
            <scheme val="minor"/>
          </rPr>
          <t>Introduzca el código SNIP</t>
        </r>
      </text>
    </comment>
    <comment ref="C590" authorId="1" shapeId="0">
      <text>
        <r>
          <rPr>
            <sz val="11"/>
            <color theme="1"/>
            <rFont val="Calibri"/>
            <family val="2"/>
            <scheme val="minor"/>
          </rPr>
          <t>Introduzca la fecha de inicio del proceso, en formato dd-mm-aaaa</t>
        </r>
      </text>
    </comment>
    <comment ref="F5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text/>
    </comment>
    <comment ref="C592" authorId="1" shapeId="0">
      <text>
        <r>
          <rPr>
            <sz val="11"/>
            <color theme="1"/>
            <rFont val="Calibri"/>
            <family val="2"/>
            <scheme val="minor"/>
          </rPr>
          <t>Introduzca la fecha prevista de adjudicación, en formato dd-mm-aaaa</t>
        </r>
      </text>
    </comment>
    <comment ref="F592" authorId="1" shapeId="0">
      <text/>
    </comment>
    <comment ref="F593" authorId="1" shapeId="0">
      <text/>
    </comment>
    <comment ref="A595" authorId="1" shapeId="0">
      <text>
        <r>
          <rPr>
            <sz val="11"/>
            <color theme="1"/>
            <rFont val="Calibri"/>
            <family val="2"/>
            <scheme val="minor"/>
          </rPr>
          <t>Introduzca un codigo UNSPSC</t>
        </r>
      </text>
    </comment>
    <comment ref="B595" authorId="1" shapeId="0">
      <text>
        <r>
          <rPr>
            <sz val="11"/>
            <color theme="1"/>
            <rFont val="Calibri"/>
            <family val="2"/>
            <scheme val="minor"/>
          </rPr>
          <t>Descripción calculada automáticamente a partir de código del artículo</t>
        </r>
      </text>
    </comment>
    <comment ref="C595" authorId="1" shapeId="0">
      <text>
        <r>
          <rPr>
            <sz val="11"/>
            <color theme="1"/>
            <rFont val="Calibri"/>
            <family val="2"/>
            <scheme val="minor"/>
          </rPr>
          <t>Seleccione un valor de la lista</t>
        </r>
      </text>
    </comment>
    <comment ref="D595" authorId="1" shapeId="0">
      <text>
        <r>
          <rPr>
            <sz val="11"/>
            <color theme="1"/>
            <rFont val="Calibri"/>
            <family val="2"/>
            <scheme val="minor"/>
          </rPr>
          <t>Introduzca un número con dos decimales como máximo. Debe ser igual o mayor a la "Cantidad Real Consumida"</t>
        </r>
      </text>
    </comment>
    <comment ref="E595" authorId="1" shapeId="0">
      <text>
        <r>
          <rPr>
            <sz val="11"/>
            <color theme="1"/>
            <rFont val="Calibri"/>
            <family val="2"/>
            <scheme val="minor"/>
          </rPr>
          <t>Introduzca un número con dos decimales como máximo</t>
        </r>
      </text>
    </comment>
    <comment ref="F595" authorId="1" shapeId="0">
      <text>
        <r>
          <rPr>
            <sz val="11"/>
            <color theme="1"/>
            <rFont val="Calibri"/>
            <family val="2"/>
            <scheme val="minor"/>
          </rPr>
          <t>Monto calculado automáticamente por el sistema</t>
        </r>
      </text>
    </comment>
    <comment ref="A605" authorId="1" shapeId="0">
      <text>
        <r>
          <rPr>
            <sz val="11"/>
            <color theme="1"/>
            <rFont val="Calibri"/>
            <family val="2"/>
            <scheme val="minor"/>
          </rPr>
          <t>Introducir un texto con el nombre o referencia de la contratación</t>
        </r>
      </text>
    </comment>
    <comment ref="B605" authorId="1" shapeId="0">
      <text>
        <r>
          <rPr>
            <sz val="11"/>
            <color theme="1"/>
            <rFont val="Calibri"/>
            <family val="2"/>
            <scheme val="minor"/>
          </rPr>
          <t>Introduzca un texto con la finalidad de la contratación</t>
        </r>
      </text>
    </comment>
    <comment ref="C605" authorId="1" shapeId="0">
      <text>
        <r>
          <rPr>
            <sz val="11"/>
            <color theme="1"/>
            <rFont val="Calibri"/>
            <family val="2"/>
            <scheme val="minor"/>
          </rPr>
          <t>Seleccionar un valor del listado</t>
        </r>
      </text>
    </comment>
    <comment ref="D605" authorId="1" shapeId="0">
      <text>
        <r>
          <rPr>
            <sz val="11"/>
            <color theme="1"/>
            <rFont val="Calibri"/>
            <family val="2"/>
            <scheme val="minor"/>
          </rPr>
          <t>Seleccione el tipo de procedimiento</t>
        </r>
      </text>
    </comment>
    <comment ref="E605" authorId="1" shapeId="0">
      <text>
        <r>
          <rPr>
            <sz val="11"/>
            <color theme="1"/>
            <rFont val="Calibri"/>
            <family val="2"/>
            <scheme val="minor"/>
          </rPr>
          <t>Seleccione un valor de la lista</t>
        </r>
      </text>
    </comment>
    <comment ref="F605" authorId="1" shapeId="0">
      <text>
        <r>
          <rPr>
            <sz val="11"/>
            <color theme="1"/>
            <rFont val="Calibri"/>
            <family val="2"/>
            <scheme val="minor"/>
          </rPr>
          <t>Introduzca el código SNIP</t>
        </r>
      </text>
    </comment>
    <comment ref="C606" authorId="1" shapeId="0">
      <text>
        <r>
          <rPr>
            <sz val="11"/>
            <color theme="1"/>
            <rFont val="Calibri"/>
            <family val="2"/>
            <scheme val="minor"/>
          </rPr>
          <t>Introduzca la fecha de inicio del proceso, en formato dd-mm-aaaa</t>
        </r>
      </text>
    </comment>
    <comment ref="F6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text/>
    </comment>
    <comment ref="C608" authorId="1" shapeId="0">
      <text>
        <r>
          <rPr>
            <sz val="11"/>
            <color theme="1"/>
            <rFont val="Calibri"/>
            <family val="2"/>
            <scheme val="minor"/>
          </rPr>
          <t>Introduzca la fecha prevista de adjudicación, en formato dd-mm-aaaa</t>
        </r>
      </text>
    </comment>
    <comment ref="F608" authorId="1" shapeId="0">
      <text/>
    </comment>
    <comment ref="F609" authorId="1" shapeId="0">
      <text/>
    </comment>
    <comment ref="A611" authorId="1" shapeId="0">
      <text>
        <r>
          <rPr>
            <sz val="11"/>
            <color theme="1"/>
            <rFont val="Calibri"/>
            <family val="2"/>
            <scheme val="minor"/>
          </rPr>
          <t>Introduzca un codigo UNSPSC</t>
        </r>
      </text>
    </comment>
    <comment ref="B611" authorId="1" shapeId="0">
      <text>
        <r>
          <rPr>
            <sz val="11"/>
            <color theme="1"/>
            <rFont val="Calibri"/>
            <family val="2"/>
            <scheme val="minor"/>
          </rPr>
          <t>Descripción calculada automáticamente a partir de código del artículo</t>
        </r>
      </text>
    </comment>
    <comment ref="C611" authorId="1" shapeId="0">
      <text>
        <r>
          <rPr>
            <sz val="11"/>
            <color theme="1"/>
            <rFont val="Calibri"/>
            <family val="2"/>
            <scheme val="minor"/>
          </rPr>
          <t>Seleccione un valor de la lista</t>
        </r>
      </text>
    </comment>
    <comment ref="D611" authorId="1" shapeId="0">
      <text>
        <r>
          <rPr>
            <sz val="11"/>
            <color theme="1"/>
            <rFont val="Calibri"/>
            <family val="2"/>
            <scheme val="minor"/>
          </rPr>
          <t>Introduzca un número con dos decimales como máximo. Debe ser igual o mayor a la "Cantidad Real Consumida"</t>
        </r>
      </text>
    </comment>
    <comment ref="E611" authorId="1" shapeId="0">
      <text>
        <r>
          <rPr>
            <sz val="11"/>
            <color theme="1"/>
            <rFont val="Calibri"/>
            <family val="2"/>
            <scheme val="minor"/>
          </rPr>
          <t>Introduzca un número con dos decimales como máximo</t>
        </r>
      </text>
    </comment>
    <comment ref="F611" authorId="1" shapeId="0">
      <text>
        <r>
          <rPr>
            <sz val="11"/>
            <color theme="1"/>
            <rFont val="Calibri"/>
            <family val="2"/>
            <scheme val="minor"/>
          </rPr>
          <t>Monto calculado automáticamente por el sistema</t>
        </r>
      </text>
    </comment>
    <comment ref="A618" authorId="1" shapeId="0">
      <text>
        <r>
          <rPr>
            <sz val="11"/>
            <color theme="1"/>
            <rFont val="Calibri"/>
            <family val="2"/>
            <scheme val="minor"/>
          </rPr>
          <t>Introducir un texto con el nombre o referencia de la contratación</t>
        </r>
      </text>
    </comment>
    <comment ref="B618" authorId="1" shapeId="0">
      <text>
        <r>
          <rPr>
            <sz val="11"/>
            <color theme="1"/>
            <rFont val="Calibri"/>
            <family val="2"/>
            <scheme val="minor"/>
          </rPr>
          <t>Introduzca un texto con la finalidad de la contratación</t>
        </r>
      </text>
    </comment>
    <comment ref="C618" authorId="1" shapeId="0">
      <text>
        <r>
          <rPr>
            <sz val="11"/>
            <color theme="1"/>
            <rFont val="Calibri"/>
            <family val="2"/>
            <scheme val="minor"/>
          </rPr>
          <t>Seleccionar un valor del listado</t>
        </r>
      </text>
    </comment>
    <comment ref="D618" authorId="1" shapeId="0">
      <text>
        <r>
          <rPr>
            <sz val="11"/>
            <color theme="1"/>
            <rFont val="Calibri"/>
            <family val="2"/>
            <scheme val="minor"/>
          </rPr>
          <t>Seleccione el tipo de procedimiento</t>
        </r>
      </text>
    </comment>
    <comment ref="E618" authorId="1" shapeId="0">
      <text>
        <r>
          <rPr>
            <sz val="11"/>
            <color theme="1"/>
            <rFont val="Calibri"/>
            <family val="2"/>
            <scheme val="minor"/>
          </rPr>
          <t>Seleccione un valor de la lista</t>
        </r>
      </text>
    </comment>
    <comment ref="F618" authorId="1" shapeId="0">
      <text>
        <r>
          <rPr>
            <sz val="11"/>
            <color theme="1"/>
            <rFont val="Calibri"/>
            <family val="2"/>
            <scheme val="minor"/>
          </rPr>
          <t>Introduzca el código SNIP</t>
        </r>
      </text>
    </comment>
    <comment ref="C619" authorId="1" shapeId="0">
      <text>
        <r>
          <rPr>
            <sz val="11"/>
            <color theme="1"/>
            <rFont val="Calibri"/>
            <family val="2"/>
            <scheme val="minor"/>
          </rPr>
          <t>Introduzca la fecha de inicio del proceso, en formato dd-mm-aaaa</t>
        </r>
      </text>
    </comment>
    <comment ref="F6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text/>
    </comment>
    <comment ref="C621" authorId="1" shapeId="0">
      <text>
        <r>
          <rPr>
            <sz val="11"/>
            <color theme="1"/>
            <rFont val="Calibri"/>
            <family val="2"/>
            <scheme val="minor"/>
          </rPr>
          <t>Introduzca la fecha prevista de adjudicación, en formato dd-mm-aaaa</t>
        </r>
      </text>
    </comment>
    <comment ref="F621" authorId="1" shapeId="0">
      <text/>
    </comment>
    <comment ref="F622" authorId="1" shapeId="0">
      <text/>
    </comment>
    <comment ref="A624" authorId="1" shapeId="0">
      <text>
        <r>
          <rPr>
            <sz val="11"/>
            <color theme="1"/>
            <rFont val="Calibri"/>
            <family val="2"/>
            <scheme val="minor"/>
          </rPr>
          <t>Introduzca un codigo UNSPSC</t>
        </r>
      </text>
    </comment>
    <comment ref="B624" authorId="1" shapeId="0">
      <text>
        <r>
          <rPr>
            <sz val="11"/>
            <color theme="1"/>
            <rFont val="Calibri"/>
            <family val="2"/>
            <scheme val="minor"/>
          </rPr>
          <t>Descripción calculada automáticamente a partir de código del artículo</t>
        </r>
      </text>
    </comment>
    <comment ref="C624" authorId="1" shapeId="0">
      <text>
        <r>
          <rPr>
            <sz val="11"/>
            <color theme="1"/>
            <rFont val="Calibri"/>
            <family val="2"/>
            <scheme val="minor"/>
          </rPr>
          <t>Seleccione un valor de la lista</t>
        </r>
      </text>
    </comment>
    <comment ref="D624" authorId="1" shapeId="0">
      <text>
        <r>
          <rPr>
            <sz val="11"/>
            <color theme="1"/>
            <rFont val="Calibri"/>
            <family val="2"/>
            <scheme val="minor"/>
          </rPr>
          <t>Introduzca un número con dos decimales como máximo. Debe ser igual o mayor a la "Cantidad Real Consumida"</t>
        </r>
      </text>
    </comment>
    <comment ref="E624" authorId="1" shapeId="0">
      <text>
        <r>
          <rPr>
            <sz val="11"/>
            <color theme="1"/>
            <rFont val="Calibri"/>
            <family val="2"/>
            <scheme val="minor"/>
          </rPr>
          <t>Introduzca un número con dos decimales como máximo</t>
        </r>
      </text>
    </comment>
    <comment ref="F624" authorId="1" shapeId="0">
      <text>
        <r>
          <rPr>
            <sz val="11"/>
            <color theme="1"/>
            <rFont val="Calibri"/>
            <family val="2"/>
            <scheme val="minor"/>
          </rPr>
          <t>Monto calculado automáticamente por el sistema</t>
        </r>
      </text>
    </comment>
    <comment ref="A630" authorId="1" shapeId="0">
      <text>
        <r>
          <rPr>
            <sz val="11"/>
            <color theme="1"/>
            <rFont val="Calibri"/>
            <family val="2"/>
            <scheme val="minor"/>
          </rPr>
          <t>Introducir un texto con el nombre o referencia de la contratación</t>
        </r>
      </text>
    </comment>
    <comment ref="B630" authorId="1" shapeId="0">
      <text>
        <r>
          <rPr>
            <sz val="11"/>
            <color theme="1"/>
            <rFont val="Calibri"/>
            <family val="2"/>
            <scheme val="minor"/>
          </rPr>
          <t>Introduzca un texto con la finalidad de la contratación</t>
        </r>
      </text>
    </comment>
    <comment ref="C630" authorId="1" shapeId="0">
      <text>
        <r>
          <rPr>
            <sz val="11"/>
            <color theme="1"/>
            <rFont val="Calibri"/>
            <family val="2"/>
            <scheme val="minor"/>
          </rPr>
          <t>Seleccionar un valor del listado</t>
        </r>
      </text>
    </comment>
    <comment ref="D630" authorId="1" shapeId="0">
      <text>
        <r>
          <rPr>
            <sz val="11"/>
            <color theme="1"/>
            <rFont val="Calibri"/>
            <family val="2"/>
            <scheme val="minor"/>
          </rPr>
          <t>Seleccione el tipo de procedimiento</t>
        </r>
      </text>
    </comment>
    <comment ref="E630" authorId="1" shapeId="0">
      <text>
        <r>
          <rPr>
            <sz val="11"/>
            <color theme="1"/>
            <rFont val="Calibri"/>
            <family val="2"/>
            <scheme val="minor"/>
          </rPr>
          <t>Seleccione un valor de la lista</t>
        </r>
      </text>
    </comment>
    <comment ref="F630" authorId="1" shapeId="0">
      <text>
        <r>
          <rPr>
            <sz val="11"/>
            <color theme="1"/>
            <rFont val="Calibri"/>
            <family val="2"/>
            <scheme val="minor"/>
          </rPr>
          <t>Introduzca el código SNIP</t>
        </r>
      </text>
    </comment>
    <comment ref="C631" authorId="1" shapeId="0">
      <text>
        <r>
          <rPr>
            <sz val="11"/>
            <color theme="1"/>
            <rFont val="Calibri"/>
            <family val="2"/>
            <scheme val="minor"/>
          </rPr>
          <t>Introduzca la fecha de inicio del proceso, en formato dd-mm-aaaa</t>
        </r>
      </text>
    </comment>
    <comment ref="F6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text/>
    </comment>
    <comment ref="C633" authorId="1" shapeId="0">
      <text>
        <r>
          <rPr>
            <sz val="11"/>
            <color theme="1"/>
            <rFont val="Calibri"/>
            <family val="2"/>
            <scheme val="minor"/>
          </rPr>
          <t>Introduzca la fecha prevista de adjudicación, en formato dd-mm-aaaa</t>
        </r>
      </text>
    </comment>
    <comment ref="F633" authorId="1" shapeId="0">
      <text/>
    </comment>
    <comment ref="F634" authorId="1" shapeId="0">
      <text/>
    </comment>
    <comment ref="A636" authorId="1" shapeId="0">
      <text>
        <r>
          <rPr>
            <sz val="11"/>
            <color theme="1"/>
            <rFont val="Calibri"/>
            <family val="2"/>
            <scheme val="minor"/>
          </rPr>
          <t>Introduzca un codigo UNSPSC</t>
        </r>
      </text>
    </comment>
    <comment ref="B636" authorId="1" shapeId="0">
      <text>
        <r>
          <rPr>
            <sz val="11"/>
            <color theme="1"/>
            <rFont val="Calibri"/>
            <family val="2"/>
            <scheme val="minor"/>
          </rPr>
          <t>Descripción calculada automáticamente a partir de código del artículo</t>
        </r>
      </text>
    </comment>
    <comment ref="C636" authorId="1" shapeId="0">
      <text>
        <r>
          <rPr>
            <sz val="11"/>
            <color theme="1"/>
            <rFont val="Calibri"/>
            <family val="2"/>
            <scheme val="minor"/>
          </rPr>
          <t>Seleccione un valor de la lista</t>
        </r>
      </text>
    </comment>
    <comment ref="D636" authorId="1" shapeId="0">
      <text>
        <r>
          <rPr>
            <sz val="11"/>
            <color theme="1"/>
            <rFont val="Calibri"/>
            <family val="2"/>
            <scheme val="minor"/>
          </rPr>
          <t>Introduzca un número con dos decimales como máximo. Debe ser igual o mayor a la "Cantidad Real Consumida"</t>
        </r>
      </text>
    </comment>
    <comment ref="E636" authorId="1" shapeId="0">
      <text>
        <r>
          <rPr>
            <sz val="11"/>
            <color theme="1"/>
            <rFont val="Calibri"/>
            <family val="2"/>
            <scheme val="minor"/>
          </rPr>
          <t>Introduzca un número con dos decimales como máximo</t>
        </r>
      </text>
    </comment>
    <comment ref="F636" authorId="1" shapeId="0">
      <text>
        <r>
          <rPr>
            <sz val="11"/>
            <color theme="1"/>
            <rFont val="Calibri"/>
            <family val="2"/>
            <scheme val="minor"/>
          </rPr>
          <t>Monto calculado automáticamente por el sistema</t>
        </r>
      </text>
    </comment>
    <comment ref="A645" authorId="1" shapeId="0">
      <text>
        <r>
          <rPr>
            <sz val="11"/>
            <color theme="1"/>
            <rFont val="Calibri"/>
            <family val="2"/>
            <scheme val="minor"/>
          </rPr>
          <t>Introducir un texto con el nombre o referencia de la contratación</t>
        </r>
      </text>
    </comment>
    <comment ref="B645" authorId="1" shapeId="0">
      <text>
        <r>
          <rPr>
            <sz val="11"/>
            <color theme="1"/>
            <rFont val="Calibri"/>
            <family val="2"/>
            <scheme val="minor"/>
          </rPr>
          <t>Introduzca un texto con la finalidad de la contratación</t>
        </r>
      </text>
    </comment>
    <comment ref="C645" authorId="1" shapeId="0">
      <text>
        <r>
          <rPr>
            <sz val="11"/>
            <color theme="1"/>
            <rFont val="Calibri"/>
            <family val="2"/>
            <scheme val="minor"/>
          </rPr>
          <t>Seleccionar un valor del listado</t>
        </r>
      </text>
    </comment>
    <comment ref="D645" authorId="1" shapeId="0">
      <text>
        <r>
          <rPr>
            <sz val="11"/>
            <color theme="1"/>
            <rFont val="Calibri"/>
            <family val="2"/>
            <scheme val="minor"/>
          </rPr>
          <t>Seleccione el tipo de procedimiento</t>
        </r>
      </text>
    </comment>
    <comment ref="E645" authorId="1" shapeId="0">
      <text>
        <r>
          <rPr>
            <sz val="11"/>
            <color theme="1"/>
            <rFont val="Calibri"/>
            <family val="2"/>
            <scheme val="minor"/>
          </rPr>
          <t>Seleccione un valor de la lista</t>
        </r>
      </text>
    </comment>
    <comment ref="F645" authorId="1" shapeId="0">
      <text>
        <r>
          <rPr>
            <sz val="11"/>
            <color theme="1"/>
            <rFont val="Calibri"/>
            <family val="2"/>
            <scheme val="minor"/>
          </rPr>
          <t>Introduzca el código SNIP</t>
        </r>
      </text>
    </comment>
    <comment ref="C646" authorId="1" shapeId="0">
      <text>
        <r>
          <rPr>
            <sz val="11"/>
            <color theme="1"/>
            <rFont val="Calibri"/>
            <family val="2"/>
            <scheme val="minor"/>
          </rPr>
          <t>Introduzca la fecha de inicio del proceso, en formato dd-mm-aaaa</t>
        </r>
      </text>
    </comment>
    <comment ref="F6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text/>
    </comment>
    <comment ref="C648" authorId="1" shapeId="0">
      <text>
        <r>
          <rPr>
            <sz val="11"/>
            <color theme="1"/>
            <rFont val="Calibri"/>
            <family val="2"/>
            <scheme val="minor"/>
          </rPr>
          <t>Introduzca la fecha prevista de adjudicación, en formato dd-mm-aaaa</t>
        </r>
      </text>
    </comment>
    <comment ref="F648" authorId="1" shapeId="0">
      <text/>
    </comment>
    <comment ref="F649" authorId="1" shapeId="0">
      <text/>
    </comment>
    <comment ref="A651" authorId="1" shapeId="0">
      <text>
        <r>
          <rPr>
            <sz val="11"/>
            <color theme="1"/>
            <rFont val="Calibri"/>
            <family val="2"/>
            <scheme val="minor"/>
          </rPr>
          <t>Introduzca un codigo UNSPSC</t>
        </r>
      </text>
    </comment>
    <comment ref="B651" authorId="1" shapeId="0">
      <text>
        <r>
          <rPr>
            <sz val="11"/>
            <color theme="1"/>
            <rFont val="Calibri"/>
            <family val="2"/>
            <scheme val="minor"/>
          </rPr>
          <t>Descripción calculada automáticamente a partir de código del artículo</t>
        </r>
      </text>
    </comment>
    <comment ref="C651" authorId="1" shapeId="0">
      <text>
        <r>
          <rPr>
            <sz val="11"/>
            <color theme="1"/>
            <rFont val="Calibri"/>
            <family val="2"/>
            <scheme val="minor"/>
          </rPr>
          <t>Seleccione un valor de la lista</t>
        </r>
      </text>
    </comment>
    <comment ref="D651" authorId="1" shapeId="0">
      <text>
        <r>
          <rPr>
            <sz val="11"/>
            <color theme="1"/>
            <rFont val="Calibri"/>
            <family val="2"/>
            <scheme val="minor"/>
          </rPr>
          <t>Introduzca un número con dos decimales como máximo. Debe ser igual o mayor a la "Cantidad Real Consumida"</t>
        </r>
      </text>
    </comment>
    <comment ref="E651" authorId="1" shapeId="0">
      <text>
        <r>
          <rPr>
            <sz val="11"/>
            <color theme="1"/>
            <rFont val="Calibri"/>
            <family val="2"/>
            <scheme val="minor"/>
          </rPr>
          <t>Introduzca un número con dos decimales como máximo</t>
        </r>
      </text>
    </comment>
    <comment ref="F651" authorId="1" shapeId="0">
      <text>
        <r>
          <rPr>
            <sz val="11"/>
            <color theme="1"/>
            <rFont val="Calibri"/>
            <family val="2"/>
            <scheme val="minor"/>
          </rPr>
          <t>Monto calculado automáticamente por el sistema</t>
        </r>
      </text>
    </comment>
    <comment ref="A657" authorId="1" shapeId="0">
      <text>
        <r>
          <rPr>
            <sz val="11"/>
            <color theme="1"/>
            <rFont val="Calibri"/>
            <family val="2"/>
            <scheme val="minor"/>
          </rPr>
          <t>Introducir un texto con el nombre o referencia de la contratación</t>
        </r>
      </text>
    </comment>
    <comment ref="B657" authorId="1" shapeId="0">
      <text>
        <r>
          <rPr>
            <sz val="11"/>
            <color theme="1"/>
            <rFont val="Calibri"/>
            <family val="2"/>
            <scheme val="minor"/>
          </rPr>
          <t>Introduzca un texto con la finalidad de la contratación</t>
        </r>
      </text>
    </comment>
    <comment ref="C657" authorId="1" shapeId="0">
      <text>
        <r>
          <rPr>
            <sz val="11"/>
            <color theme="1"/>
            <rFont val="Calibri"/>
            <family val="2"/>
            <scheme val="minor"/>
          </rPr>
          <t>Seleccionar un valor del listado</t>
        </r>
      </text>
    </comment>
    <comment ref="D657" authorId="1" shapeId="0">
      <text>
        <r>
          <rPr>
            <sz val="11"/>
            <color theme="1"/>
            <rFont val="Calibri"/>
            <family val="2"/>
            <scheme val="minor"/>
          </rPr>
          <t>Seleccione el tipo de procedimiento</t>
        </r>
      </text>
    </comment>
    <comment ref="E657" authorId="1" shapeId="0">
      <text>
        <r>
          <rPr>
            <sz val="11"/>
            <color theme="1"/>
            <rFont val="Calibri"/>
            <family val="2"/>
            <scheme val="minor"/>
          </rPr>
          <t>Seleccione un valor de la lista</t>
        </r>
      </text>
    </comment>
    <comment ref="F657" authorId="1" shapeId="0">
      <text>
        <r>
          <rPr>
            <sz val="11"/>
            <color theme="1"/>
            <rFont val="Calibri"/>
            <family val="2"/>
            <scheme val="minor"/>
          </rPr>
          <t>Introduzca el código SNIP</t>
        </r>
      </text>
    </comment>
    <comment ref="C658" authorId="1" shapeId="0">
      <text>
        <r>
          <rPr>
            <sz val="11"/>
            <color theme="1"/>
            <rFont val="Calibri"/>
            <family val="2"/>
            <scheme val="minor"/>
          </rPr>
          <t>Introduzca la fecha de inicio del proceso, en formato dd-mm-aaaa</t>
        </r>
      </text>
    </comment>
    <comment ref="F6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shapeId="0">
      <text/>
    </comment>
    <comment ref="C660" authorId="1" shapeId="0">
      <text>
        <r>
          <rPr>
            <sz val="11"/>
            <color theme="1"/>
            <rFont val="Calibri"/>
            <family val="2"/>
            <scheme val="minor"/>
          </rPr>
          <t>Introduzca la fecha prevista de adjudicación, en formato dd-mm-aaaa</t>
        </r>
      </text>
    </comment>
    <comment ref="F660" authorId="1" shapeId="0">
      <text/>
    </comment>
    <comment ref="F661" authorId="1" shapeId="0">
      <text/>
    </comment>
    <comment ref="A663" authorId="1" shapeId="0">
      <text>
        <r>
          <rPr>
            <sz val="11"/>
            <color theme="1"/>
            <rFont val="Calibri"/>
            <family val="2"/>
            <scheme val="minor"/>
          </rPr>
          <t>Introduzca un codigo UNSPSC</t>
        </r>
      </text>
    </comment>
    <comment ref="B663" authorId="1" shapeId="0">
      <text>
        <r>
          <rPr>
            <sz val="11"/>
            <color theme="1"/>
            <rFont val="Calibri"/>
            <family val="2"/>
            <scheme val="minor"/>
          </rPr>
          <t>Descripción calculada automáticamente a partir de código del artículo</t>
        </r>
      </text>
    </comment>
    <comment ref="C663" authorId="1" shapeId="0">
      <text>
        <r>
          <rPr>
            <sz val="11"/>
            <color theme="1"/>
            <rFont val="Calibri"/>
            <family val="2"/>
            <scheme val="minor"/>
          </rPr>
          <t>Seleccione un valor de la lista</t>
        </r>
      </text>
    </comment>
    <comment ref="D663" authorId="1" shapeId="0">
      <text>
        <r>
          <rPr>
            <sz val="11"/>
            <color theme="1"/>
            <rFont val="Calibri"/>
            <family val="2"/>
            <scheme val="minor"/>
          </rPr>
          <t>Introduzca un número con dos decimales como máximo. Debe ser igual o mayor a la "Cantidad Real Consumida"</t>
        </r>
      </text>
    </comment>
    <comment ref="E663" authorId="1" shapeId="0">
      <text>
        <r>
          <rPr>
            <sz val="11"/>
            <color theme="1"/>
            <rFont val="Calibri"/>
            <family val="2"/>
            <scheme val="minor"/>
          </rPr>
          <t>Introduzca un número con dos decimales como máximo</t>
        </r>
      </text>
    </comment>
    <comment ref="F663" authorId="1" shapeId="0">
      <text>
        <r>
          <rPr>
            <sz val="11"/>
            <color theme="1"/>
            <rFont val="Calibri"/>
            <family val="2"/>
            <scheme val="minor"/>
          </rPr>
          <t>Monto calculado automáticamente por el sistema</t>
        </r>
      </text>
    </comment>
    <comment ref="A668" authorId="1" shapeId="0">
      <text>
        <r>
          <rPr>
            <sz val="11"/>
            <color theme="1"/>
            <rFont val="Calibri"/>
            <family val="2"/>
            <scheme val="minor"/>
          </rPr>
          <t>Introducir un texto con el nombre o referencia de la contratación</t>
        </r>
      </text>
    </comment>
    <comment ref="B668" authorId="1" shapeId="0">
      <text>
        <r>
          <rPr>
            <sz val="11"/>
            <color theme="1"/>
            <rFont val="Calibri"/>
            <family val="2"/>
            <scheme val="minor"/>
          </rPr>
          <t>Introduzca un texto con la finalidad de la contratación</t>
        </r>
      </text>
    </comment>
    <comment ref="C668" authorId="1" shapeId="0">
      <text>
        <r>
          <rPr>
            <sz val="11"/>
            <color theme="1"/>
            <rFont val="Calibri"/>
            <family val="2"/>
            <scheme val="minor"/>
          </rPr>
          <t>Seleccionar un valor del listado</t>
        </r>
      </text>
    </comment>
    <comment ref="D668" authorId="1" shapeId="0">
      <text>
        <r>
          <rPr>
            <sz val="11"/>
            <color theme="1"/>
            <rFont val="Calibri"/>
            <family val="2"/>
            <scheme val="minor"/>
          </rPr>
          <t>Seleccione el tipo de procedimiento</t>
        </r>
      </text>
    </comment>
    <comment ref="E668" authorId="1" shapeId="0">
      <text>
        <r>
          <rPr>
            <sz val="11"/>
            <color theme="1"/>
            <rFont val="Calibri"/>
            <family val="2"/>
            <scheme val="minor"/>
          </rPr>
          <t>Seleccione un valor de la lista</t>
        </r>
      </text>
    </comment>
    <comment ref="F668" authorId="1" shapeId="0">
      <text>
        <r>
          <rPr>
            <sz val="11"/>
            <color theme="1"/>
            <rFont val="Calibri"/>
            <family val="2"/>
            <scheme val="minor"/>
          </rPr>
          <t>Introduzca el código SNIP</t>
        </r>
      </text>
    </comment>
    <comment ref="C669" authorId="1" shapeId="0">
      <text>
        <r>
          <rPr>
            <sz val="11"/>
            <color theme="1"/>
            <rFont val="Calibri"/>
            <family val="2"/>
            <scheme val="minor"/>
          </rPr>
          <t>Introduzca la fecha de inicio del proceso, en formato dd-mm-aaaa</t>
        </r>
      </text>
    </comment>
    <comment ref="F6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text/>
    </comment>
    <comment ref="C671" authorId="1" shapeId="0">
      <text>
        <r>
          <rPr>
            <sz val="11"/>
            <color theme="1"/>
            <rFont val="Calibri"/>
            <family val="2"/>
            <scheme val="minor"/>
          </rPr>
          <t>Introduzca la fecha prevista de adjudicación, en formato dd-mm-aaaa</t>
        </r>
      </text>
    </comment>
    <comment ref="F671" authorId="1" shapeId="0">
      <text/>
    </comment>
    <comment ref="F672" authorId="1" shapeId="0">
      <text/>
    </comment>
    <comment ref="A674" authorId="1" shapeId="0">
      <text>
        <r>
          <rPr>
            <sz val="11"/>
            <color theme="1"/>
            <rFont val="Calibri"/>
            <family val="2"/>
            <scheme val="minor"/>
          </rPr>
          <t>Introduzca un codigo UNSPSC</t>
        </r>
      </text>
    </comment>
    <comment ref="B674" authorId="1" shapeId="0">
      <text>
        <r>
          <rPr>
            <sz val="11"/>
            <color theme="1"/>
            <rFont val="Calibri"/>
            <family val="2"/>
            <scheme val="minor"/>
          </rPr>
          <t>Descripción calculada automáticamente a partir de código del artículo</t>
        </r>
      </text>
    </comment>
    <comment ref="C674" authorId="1" shapeId="0">
      <text>
        <r>
          <rPr>
            <sz val="11"/>
            <color theme="1"/>
            <rFont val="Calibri"/>
            <family val="2"/>
            <scheme val="minor"/>
          </rPr>
          <t>Seleccione un valor de la lista</t>
        </r>
      </text>
    </comment>
    <comment ref="D674" authorId="1" shapeId="0">
      <text>
        <r>
          <rPr>
            <sz val="11"/>
            <color theme="1"/>
            <rFont val="Calibri"/>
            <family val="2"/>
            <scheme val="minor"/>
          </rPr>
          <t>Introduzca un número con dos decimales como máximo. Debe ser igual o mayor a la "Cantidad Real Consumida"</t>
        </r>
      </text>
    </comment>
    <comment ref="E674" authorId="1" shapeId="0">
      <text>
        <r>
          <rPr>
            <sz val="11"/>
            <color theme="1"/>
            <rFont val="Calibri"/>
            <family val="2"/>
            <scheme val="minor"/>
          </rPr>
          <t>Introduzca un número con dos decimales como máximo</t>
        </r>
      </text>
    </comment>
    <comment ref="F674" authorId="1" shapeId="0">
      <text>
        <r>
          <rPr>
            <sz val="11"/>
            <color theme="1"/>
            <rFont val="Calibri"/>
            <family val="2"/>
            <scheme val="minor"/>
          </rPr>
          <t>Monto calculado automáticamente por el sistema</t>
        </r>
      </text>
    </comment>
    <comment ref="A679" authorId="1" shapeId="0">
      <text>
        <r>
          <rPr>
            <sz val="11"/>
            <color theme="1"/>
            <rFont val="Calibri"/>
            <family val="2"/>
            <scheme val="minor"/>
          </rPr>
          <t>Introducir un texto con el nombre o referencia de la contratación</t>
        </r>
      </text>
    </comment>
    <comment ref="B679" authorId="1" shapeId="0">
      <text>
        <r>
          <rPr>
            <sz val="11"/>
            <color theme="1"/>
            <rFont val="Calibri"/>
            <family val="2"/>
            <scheme val="minor"/>
          </rPr>
          <t>Introduzca un texto con la finalidad de la contratación</t>
        </r>
      </text>
    </comment>
    <comment ref="C679" authorId="1" shapeId="0">
      <text>
        <r>
          <rPr>
            <sz val="11"/>
            <color theme="1"/>
            <rFont val="Calibri"/>
            <family val="2"/>
            <scheme val="minor"/>
          </rPr>
          <t>Seleccionar un valor del listado</t>
        </r>
      </text>
    </comment>
    <comment ref="D679" authorId="1" shapeId="0">
      <text>
        <r>
          <rPr>
            <sz val="11"/>
            <color theme="1"/>
            <rFont val="Calibri"/>
            <family val="2"/>
            <scheme val="minor"/>
          </rPr>
          <t>Seleccione el tipo de procedimiento</t>
        </r>
      </text>
    </comment>
    <comment ref="E679" authorId="1" shapeId="0">
      <text>
        <r>
          <rPr>
            <sz val="11"/>
            <color theme="1"/>
            <rFont val="Calibri"/>
            <family val="2"/>
            <scheme val="minor"/>
          </rPr>
          <t>Seleccione un valor de la lista</t>
        </r>
      </text>
    </comment>
    <comment ref="F679" authorId="1" shapeId="0">
      <text>
        <r>
          <rPr>
            <sz val="11"/>
            <color theme="1"/>
            <rFont val="Calibri"/>
            <family val="2"/>
            <scheme val="minor"/>
          </rPr>
          <t>Introduzca el código SNIP</t>
        </r>
      </text>
    </comment>
    <comment ref="C680" authorId="1" shapeId="0">
      <text>
        <r>
          <rPr>
            <sz val="11"/>
            <color theme="1"/>
            <rFont val="Calibri"/>
            <family val="2"/>
            <scheme val="minor"/>
          </rPr>
          <t>Introduzca la fecha de inicio del proceso, en formato dd-mm-aaaa</t>
        </r>
      </text>
    </comment>
    <comment ref="F6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text/>
    </comment>
    <comment ref="C682" authorId="1" shapeId="0">
      <text>
        <r>
          <rPr>
            <sz val="11"/>
            <color theme="1"/>
            <rFont val="Calibri"/>
            <family val="2"/>
            <scheme val="minor"/>
          </rPr>
          <t>Introduzca la fecha prevista de adjudicación, en formato dd-mm-aaaa</t>
        </r>
      </text>
    </comment>
    <comment ref="F682" authorId="1" shapeId="0">
      <text/>
    </comment>
    <comment ref="F683" authorId="1" shapeId="0">
      <text/>
    </comment>
    <comment ref="A685" authorId="1" shapeId="0">
      <text>
        <r>
          <rPr>
            <sz val="11"/>
            <color theme="1"/>
            <rFont val="Calibri"/>
            <family val="2"/>
            <scheme val="minor"/>
          </rPr>
          <t>Introduzca un codigo UNSPSC</t>
        </r>
      </text>
    </comment>
    <comment ref="B685" authorId="1" shapeId="0">
      <text>
        <r>
          <rPr>
            <sz val="11"/>
            <color theme="1"/>
            <rFont val="Calibri"/>
            <family val="2"/>
            <scheme val="minor"/>
          </rPr>
          <t>Descripción calculada automáticamente a partir de código del artículo</t>
        </r>
      </text>
    </comment>
    <comment ref="C685" authorId="1" shapeId="0">
      <text>
        <r>
          <rPr>
            <sz val="11"/>
            <color theme="1"/>
            <rFont val="Calibri"/>
            <family val="2"/>
            <scheme val="minor"/>
          </rPr>
          <t>Seleccione un valor de la lista</t>
        </r>
      </text>
    </comment>
    <comment ref="D685" authorId="1" shapeId="0">
      <text>
        <r>
          <rPr>
            <sz val="11"/>
            <color theme="1"/>
            <rFont val="Calibri"/>
            <family val="2"/>
            <scheme val="minor"/>
          </rPr>
          <t>Introduzca un número con dos decimales como máximo. Debe ser igual o mayor a la "Cantidad Real Consumida"</t>
        </r>
      </text>
    </comment>
    <comment ref="E685" authorId="1" shapeId="0">
      <text>
        <r>
          <rPr>
            <sz val="11"/>
            <color theme="1"/>
            <rFont val="Calibri"/>
            <family val="2"/>
            <scheme val="minor"/>
          </rPr>
          <t>Introduzca un número con dos decimales como máximo</t>
        </r>
      </text>
    </comment>
    <comment ref="F685" authorId="1" shapeId="0">
      <text>
        <r>
          <rPr>
            <sz val="11"/>
            <color theme="1"/>
            <rFont val="Calibri"/>
            <family val="2"/>
            <scheme val="minor"/>
          </rPr>
          <t>Monto calculado automáticamente por el sistema</t>
        </r>
      </text>
    </comment>
    <comment ref="A694" authorId="1" shapeId="0">
      <text>
        <r>
          <rPr>
            <sz val="11"/>
            <color theme="1"/>
            <rFont val="Calibri"/>
            <family val="2"/>
            <scheme val="minor"/>
          </rPr>
          <t>Introducir un texto con el nombre o referencia de la contratación</t>
        </r>
      </text>
    </comment>
    <comment ref="B694" authorId="1" shapeId="0">
      <text>
        <r>
          <rPr>
            <sz val="11"/>
            <color theme="1"/>
            <rFont val="Calibri"/>
            <family val="2"/>
            <scheme val="minor"/>
          </rPr>
          <t>Introduzca un texto con la finalidad de la contratación</t>
        </r>
      </text>
    </comment>
    <comment ref="C694" authorId="1" shapeId="0">
      <text>
        <r>
          <rPr>
            <sz val="11"/>
            <color theme="1"/>
            <rFont val="Calibri"/>
            <family val="2"/>
            <scheme val="minor"/>
          </rPr>
          <t>Seleccionar un valor del listado</t>
        </r>
      </text>
    </comment>
    <comment ref="D694" authorId="1" shapeId="0">
      <text>
        <r>
          <rPr>
            <sz val="11"/>
            <color theme="1"/>
            <rFont val="Calibri"/>
            <family val="2"/>
            <scheme val="minor"/>
          </rPr>
          <t>Seleccione el tipo de procedimiento</t>
        </r>
      </text>
    </comment>
    <comment ref="E694" authorId="1" shapeId="0">
      <text>
        <r>
          <rPr>
            <sz val="11"/>
            <color theme="1"/>
            <rFont val="Calibri"/>
            <family val="2"/>
            <scheme val="minor"/>
          </rPr>
          <t>Seleccione un valor de la lista</t>
        </r>
      </text>
    </comment>
    <comment ref="F694" authorId="1" shapeId="0">
      <text>
        <r>
          <rPr>
            <sz val="11"/>
            <color theme="1"/>
            <rFont val="Calibri"/>
            <family val="2"/>
            <scheme val="minor"/>
          </rPr>
          <t>Introduzca el código SNIP</t>
        </r>
      </text>
    </comment>
    <comment ref="C695" authorId="1" shapeId="0">
      <text>
        <r>
          <rPr>
            <sz val="11"/>
            <color theme="1"/>
            <rFont val="Calibri"/>
            <family val="2"/>
            <scheme val="minor"/>
          </rPr>
          <t>Introduzca la fecha de inicio del proceso, en formato dd-mm-aaaa</t>
        </r>
      </text>
    </comment>
    <comment ref="F6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text/>
    </comment>
    <comment ref="C697" authorId="1" shapeId="0">
      <text>
        <r>
          <rPr>
            <sz val="11"/>
            <color theme="1"/>
            <rFont val="Calibri"/>
            <family val="2"/>
            <scheme val="minor"/>
          </rPr>
          <t>Introduzca la fecha prevista de adjudicación, en formato dd-mm-aaaa</t>
        </r>
      </text>
    </comment>
    <comment ref="F697" authorId="1" shapeId="0">
      <text/>
    </comment>
    <comment ref="F698" authorId="1" shapeId="0">
      <text/>
    </comment>
    <comment ref="A700" authorId="1" shapeId="0">
      <text>
        <r>
          <rPr>
            <sz val="11"/>
            <color theme="1"/>
            <rFont val="Calibri"/>
            <family val="2"/>
            <scheme val="minor"/>
          </rPr>
          <t>Introduzca un codigo UNSPSC</t>
        </r>
      </text>
    </comment>
    <comment ref="B700" authorId="1" shapeId="0">
      <text>
        <r>
          <rPr>
            <sz val="11"/>
            <color theme="1"/>
            <rFont val="Calibri"/>
            <family val="2"/>
            <scheme val="minor"/>
          </rPr>
          <t>Descripción calculada automáticamente a partir de código del artículo</t>
        </r>
      </text>
    </comment>
    <comment ref="C700" authorId="1" shapeId="0">
      <text>
        <r>
          <rPr>
            <sz val="11"/>
            <color theme="1"/>
            <rFont val="Calibri"/>
            <family val="2"/>
            <scheme val="minor"/>
          </rPr>
          <t>Seleccione un valor de la lista</t>
        </r>
      </text>
    </comment>
    <comment ref="D700" authorId="1" shapeId="0">
      <text>
        <r>
          <rPr>
            <sz val="11"/>
            <color theme="1"/>
            <rFont val="Calibri"/>
            <family val="2"/>
            <scheme val="minor"/>
          </rPr>
          <t>Introduzca un número con dos decimales como máximo. Debe ser igual o mayor a la "Cantidad Real Consumida"</t>
        </r>
      </text>
    </comment>
    <comment ref="E700" authorId="1" shapeId="0">
      <text>
        <r>
          <rPr>
            <sz val="11"/>
            <color theme="1"/>
            <rFont val="Calibri"/>
            <family val="2"/>
            <scheme val="minor"/>
          </rPr>
          <t>Introduzca un número con dos decimales como máximo</t>
        </r>
      </text>
    </comment>
    <comment ref="F700" authorId="1" shapeId="0">
      <text>
        <r>
          <rPr>
            <sz val="11"/>
            <color theme="1"/>
            <rFont val="Calibri"/>
            <family val="2"/>
            <scheme val="minor"/>
          </rPr>
          <t>Monto calculado automáticamente por el sistema</t>
        </r>
      </text>
    </comment>
    <comment ref="A719" authorId="1" shapeId="0">
      <text>
        <r>
          <rPr>
            <sz val="11"/>
            <color theme="1"/>
            <rFont val="Calibri"/>
            <family val="2"/>
            <scheme val="minor"/>
          </rPr>
          <t>Introducir un texto con el nombre o referencia de la contratación</t>
        </r>
      </text>
    </comment>
    <comment ref="B719" authorId="1" shapeId="0">
      <text>
        <r>
          <rPr>
            <sz val="11"/>
            <color theme="1"/>
            <rFont val="Calibri"/>
            <family val="2"/>
            <scheme val="minor"/>
          </rPr>
          <t>Introduzca un texto con la finalidad de la contratación</t>
        </r>
      </text>
    </comment>
    <comment ref="C719" authorId="1" shapeId="0">
      <text>
        <r>
          <rPr>
            <sz val="11"/>
            <color theme="1"/>
            <rFont val="Calibri"/>
            <family val="2"/>
            <scheme val="minor"/>
          </rPr>
          <t>Seleccionar un valor del listado</t>
        </r>
      </text>
    </comment>
    <comment ref="D719" authorId="1" shapeId="0">
      <text>
        <r>
          <rPr>
            <sz val="11"/>
            <color theme="1"/>
            <rFont val="Calibri"/>
            <family val="2"/>
            <scheme val="minor"/>
          </rPr>
          <t>Seleccione el tipo de procedimiento</t>
        </r>
      </text>
    </comment>
    <comment ref="E719" authorId="1" shapeId="0">
      <text>
        <r>
          <rPr>
            <sz val="11"/>
            <color theme="1"/>
            <rFont val="Calibri"/>
            <family val="2"/>
            <scheme val="minor"/>
          </rPr>
          <t>Seleccione un valor de la lista</t>
        </r>
      </text>
    </comment>
    <comment ref="F719" authorId="1" shapeId="0">
      <text>
        <r>
          <rPr>
            <sz val="11"/>
            <color theme="1"/>
            <rFont val="Calibri"/>
            <family val="2"/>
            <scheme val="minor"/>
          </rPr>
          <t>Introduzca el código SNIP</t>
        </r>
      </text>
    </comment>
    <comment ref="C720" authorId="1" shapeId="0">
      <text>
        <r>
          <rPr>
            <sz val="11"/>
            <color theme="1"/>
            <rFont val="Calibri"/>
            <family val="2"/>
            <scheme val="minor"/>
          </rPr>
          <t>Introduzca la fecha de inicio del proceso, en formato dd-mm-aaaa</t>
        </r>
      </text>
    </comment>
    <comment ref="F7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1" authorId="1" shapeId="0">
      <text/>
    </comment>
    <comment ref="C722" authorId="1" shapeId="0">
      <text>
        <r>
          <rPr>
            <sz val="11"/>
            <color theme="1"/>
            <rFont val="Calibri"/>
            <family val="2"/>
            <scheme val="minor"/>
          </rPr>
          <t>Introduzca la fecha prevista de adjudicación, en formato dd-mm-aaaa</t>
        </r>
      </text>
    </comment>
    <comment ref="F722" authorId="1" shapeId="0">
      <text/>
    </comment>
    <comment ref="F723" authorId="1" shapeId="0">
      <text/>
    </comment>
    <comment ref="A725" authorId="1" shapeId="0">
      <text>
        <r>
          <rPr>
            <sz val="11"/>
            <color theme="1"/>
            <rFont val="Calibri"/>
            <family val="2"/>
            <scheme val="minor"/>
          </rPr>
          <t>Introduzca un codigo UNSPSC</t>
        </r>
      </text>
    </comment>
    <comment ref="B725" authorId="1" shapeId="0">
      <text>
        <r>
          <rPr>
            <sz val="11"/>
            <color theme="1"/>
            <rFont val="Calibri"/>
            <family val="2"/>
            <scheme val="minor"/>
          </rPr>
          <t>Descripción calculada automáticamente a partir de código del artículo</t>
        </r>
      </text>
    </comment>
    <comment ref="C725" authorId="1" shapeId="0">
      <text>
        <r>
          <rPr>
            <sz val="11"/>
            <color theme="1"/>
            <rFont val="Calibri"/>
            <family val="2"/>
            <scheme val="minor"/>
          </rPr>
          <t>Seleccione un valor de la lista</t>
        </r>
      </text>
    </comment>
    <comment ref="D725" authorId="1" shapeId="0">
      <text>
        <r>
          <rPr>
            <sz val="11"/>
            <color theme="1"/>
            <rFont val="Calibri"/>
            <family val="2"/>
            <scheme val="minor"/>
          </rPr>
          <t>Introduzca un número con dos decimales como máximo. Debe ser igual o mayor a la "Cantidad Real Consumida"</t>
        </r>
      </text>
    </comment>
    <comment ref="E725" authorId="1" shapeId="0">
      <text>
        <r>
          <rPr>
            <sz val="11"/>
            <color theme="1"/>
            <rFont val="Calibri"/>
            <family val="2"/>
            <scheme val="minor"/>
          </rPr>
          <t>Introduzca un número con dos decimales como máximo</t>
        </r>
      </text>
    </comment>
    <comment ref="F725" authorId="1"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<sst xmlns="http://schemas.openxmlformats.org/spreadsheetml/2006/main" count="1697" uniqueCount="247">
  <si>
    <t xml:space="preserve">PLAN ANUAL DE COMPRAS Y CONTRATACIONES 
</t>
  </si>
  <si>
    <t>SNCC.F.069</t>
  </si>
  <si>
    <t xml:space="preserve">Capítulo </t>
  </si>
  <si>
    <t>5167</t>
  </si>
  <si>
    <t>Version: 1.0.0</t>
  </si>
  <si>
    <t>Sub Capítulo</t>
  </si>
  <si>
    <t>01</t>
  </si>
  <si>
    <t>Unidad Ejecutora</t>
  </si>
  <si>
    <t>0001</t>
  </si>
  <si>
    <t>Cantidad Procesos Registrados</t>
  </si>
  <si>
    <t xml:space="preserve">Unidad de Compra </t>
  </si>
  <si>
    <t>Oficina Nacional de Defensa Pública</t>
  </si>
  <si>
    <t>Monto Estimado Total</t>
  </si>
  <si>
    <t>Código de la Unidad de Compra</t>
  </si>
  <si>
    <t>000700</t>
  </si>
  <si>
    <t xml:space="preserve">Año Fiscal </t>
  </si>
  <si>
    <t>2021</t>
  </si>
  <si>
    <t>Fecha Aprobación</t>
  </si>
  <si>
    <t/>
  </si>
  <si>
    <t>NOMBRE O REFERENCIA DE CONTRATACIÓN</t>
  </si>
  <si>
    <t>FINALIDAD DE LA CONTRATACIÓN</t>
  </si>
  <si>
    <t>OBJETO DE CONTRATACIÓN</t>
  </si>
  <si>
    <t>PROCEDIMIENTO DE SELECCIÓN</t>
  </si>
  <si>
    <t>DESTINADO A MIPYMES</t>
  </si>
  <si>
    <t>CÓDIGO SNIP</t>
  </si>
  <si>
    <t>MOBILIARIOS Y EQUIPOS DE OFICINA</t>
  </si>
  <si>
    <t>ADQUISICION DE MOBILIARIOS</t>
  </si>
  <si>
    <t>Bienes</t>
  </si>
  <si>
    <t>Comparacion de Precios</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</si>
  <si>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</si>
  <si>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</si>
  <si>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</si>
  <si>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</si>
  <si>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</si>
  <si>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</si>
  <si>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</si>
  <si>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</si>
  <si>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</si>
  <si>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</si>
  <si>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</si>
  <si>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</si>
  <si>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</si>
  <si>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</si>
  <si>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</si>
  <si>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</si>
  <si>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</si>
  <si>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</si>
  <si>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56101703</t>
  </si>
  <si>
    <t>56101702</t>
  </si>
  <si>
    <t>56101706</t>
  </si>
  <si>
    <t>56112102</t>
  </si>
  <si>
    <t>56112104</t>
  </si>
  <si>
    <t>43212110</t>
  </si>
  <si>
    <t>44101902</t>
  </si>
  <si>
    <t>44101603</t>
  </si>
  <si>
    <t>56111701</t>
  </si>
  <si>
    <t>TOTAL COMPRA ESTIMADA</t>
  </si>
  <si>
    <t>ADQUIRIR BATERIAS, GENERADORES Y ENERGIA CINETICA</t>
  </si>
  <si>
    <t>Compras Menores</t>
  </si>
  <si>
    <t>25173901</t>
  </si>
  <si>
    <t>26111702</t>
  </si>
  <si>
    <t>26111701</t>
  </si>
  <si>
    <t>ADQURIR SERVICIO DE EXTERMINACION O FUMIGACION</t>
  </si>
  <si>
    <t>ADQUISICION SERVICIO DE EXTERMINACION O FUMIGACION PARA TODAS LAS OFICINAS A NIVEL NACIONAL</t>
  </si>
  <si>
    <t>Servicios</t>
  </si>
  <si>
    <t>72102103</t>
  </si>
  <si>
    <t xml:space="preserve">ADQUIRIR CAMARAS DIGITALES    </t>
  </si>
  <si>
    <t xml:space="preserve">ADQUIRIR CAMARAS DIGITALES    
</t>
  </si>
  <si>
    <t>Compras por debajo del Umbral</t>
  </si>
  <si>
    <t>45121504</t>
  </si>
  <si>
    <t xml:space="preserve">NEVERA EXHIBIDORA </t>
  </si>
  <si>
    <t>NEVERA EXHIBIDORA PARA LA COCINA DE LA SEDE PRINCIPAL DE LA ONDP</t>
  </si>
  <si>
    <t>52141501</t>
  </si>
  <si>
    <t xml:space="preserve">CONFECCIÓN DE UNIFORMES INSTITUCIONALES </t>
  </si>
  <si>
    <t>CONFECCIÓN DE UNIFORMES PARA DIFERENTES EMPLEADOS DE LA OFICINA NACIONAL DE DEFENSA PÚBLICA (ONDP).</t>
  </si>
  <si>
    <t>53102710</t>
  </si>
  <si>
    <t>ADQUIRIR SERVICIOS DE COMIDAS Y BEBIDAS</t>
  </si>
  <si>
    <t>90101802</t>
  </si>
  <si>
    <t>ADQUIRIR COMBUSTIBLE</t>
  </si>
  <si>
    <t>15101505</t>
  </si>
  <si>
    <t>ADQUIRIR BONOS PARA EMPLEADOS</t>
  </si>
  <si>
    <t>ADQUISICION BONOS ESCOLARES</t>
  </si>
  <si>
    <t>14111608</t>
  </si>
  <si>
    <t>ADQUISICION BONOS NAVIDEÑOS A EMPLEADOS</t>
  </si>
  <si>
    <t>ORGANIZACION DE EVENTOS Y FESTIVIDADES</t>
  </si>
  <si>
    <t>80141902</t>
  </si>
  <si>
    <t xml:space="preserve">REMODELACIONES </t>
  </si>
  <si>
    <t xml:space="preserve">REMODELACION DE VARIAS OFICINAS </t>
  </si>
  <si>
    <t>Obras</t>
  </si>
  <si>
    <t>72101507</t>
  </si>
  <si>
    <t>MANTENIMIENTO EQUIPOS Y MOBILIARIOS DE OFICINA</t>
  </si>
  <si>
    <t>81111805</t>
  </si>
  <si>
    <t>MANTENIMIENTO EQUIPOS DE TRANSPORTE</t>
  </si>
  <si>
    <t>78180101</t>
  </si>
  <si>
    <t>PUBLICIDAD, IMPRESION Y ENCUADERNACION</t>
  </si>
  <si>
    <t>82101508</t>
  </si>
  <si>
    <t>82121511</t>
  </si>
  <si>
    <t xml:space="preserve">MANTENIMIENTO DE PLANTA ELECTRICA </t>
  </si>
  <si>
    <t>MANTENIMIENTO DE PLANTA ELECTRICA DISTRITO NACIONAL</t>
  </si>
  <si>
    <t>72101517</t>
  </si>
  <si>
    <t>VEHICULOS</t>
  </si>
  <si>
    <t>COMPRA DE VEHICULO</t>
  </si>
  <si>
    <t>25101507</t>
  </si>
  <si>
    <t>25101801</t>
  </si>
  <si>
    <t>EQUIPOS TECNOLOGICOS</t>
  </si>
  <si>
    <t>ADQUISICION DE EQUIPOS TECNOLOGICOS</t>
  </si>
  <si>
    <t>43201503</t>
  </si>
  <si>
    <t>45111607</t>
  </si>
  <si>
    <t>43222901</t>
  </si>
  <si>
    <t>43191504</t>
  </si>
  <si>
    <t xml:space="preserve">LICENCIAS INFORMATICAS </t>
  </si>
  <si>
    <t xml:space="preserve">ADQUISICION DE LICENCIAS INFORMATICAS </t>
  </si>
  <si>
    <t>Excepción - Bienes o servicios con exclusividad</t>
  </si>
  <si>
    <t>43231512</t>
  </si>
  <si>
    <t>ACCESORIOS CAMARA</t>
  </si>
  <si>
    <t>ADQUISICION DE ACCESORIOS PARA CAMARAS</t>
  </si>
  <si>
    <t>45121805</t>
  </si>
  <si>
    <t>DISPENSARIO MEDICO VARIOS</t>
  </si>
  <si>
    <t>51171504</t>
  </si>
  <si>
    <t>51161803</t>
  </si>
  <si>
    <t>51171820</t>
  </si>
  <si>
    <t>51161620</t>
  </si>
  <si>
    <t>51142106</t>
  </si>
  <si>
    <t>51142001</t>
  </si>
  <si>
    <t>51161647</t>
  </si>
  <si>
    <t>51142002</t>
  </si>
  <si>
    <t>42142108</t>
  </si>
  <si>
    <t xml:space="preserve">MATERIAL GASTABLE DE OFICINA </t>
  </si>
  <si>
    <t>ADQUISICIÓN MATERIALES DE OFICINA PARA TODAS LAS OFICINAS A NIVEL NACIONAL</t>
  </si>
  <si>
    <t>Sí</t>
  </si>
  <si>
    <t>14111507</t>
  </si>
  <si>
    <t>24121503</t>
  </si>
  <si>
    <t>14111537</t>
  </si>
  <si>
    <t>14111526</t>
  </si>
  <si>
    <t>14111531</t>
  </si>
  <si>
    <t>44122003</t>
  </si>
  <si>
    <t>31201512</t>
  </si>
  <si>
    <t>44122104</t>
  </si>
  <si>
    <t>43201811</t>
  </si>
  <si>
    <t>44122011</t>
  </si>
  <si>
    <t>44121611</t>
  </si>
  <si>
    <t>44122107</t>
  </si>
  <si>
    <t>44121615</t>
  </si>
  <si>
    <t>44121701</t>
  </si>
  <si>
    <t>44121716</t>
  </si>
  <si>
    <t>44121708</t>
  </si>
  <si>
    <t>44122017</t>
  </si>
  <si>
    <t>44101602</t>
  </si>
  <si>
    <t>44121613</t>
  </si>
  <si>
    <t>44121619</t>
  </si>
  <si>
    <t>44121503</t>
  </si>
  <si>
    <t>44122016</t>
  </si>
  <si>
    <t>44121612</t>
  </si>
  <si>
    <t>44121904</t>
  </si>
  <si>
    <t>55121802</t>
  </si>
  <si>
    <t>55121616</t>
  </si>
  <si>
    <t>44103112</t>
  </si>
  <si>
    <t>44111907</t>
  </si>
  <si>
    <t>44111906</t>
  </si>
  <si>
    <t xml:space="preserve">ADQUISICION DE LIBROS Y AGENDAS </t>
  </si>
  <si>
    <t>55101510</t>
  </si>
  <si>
    <t>55101502</t>
  </si>
  <si>
    <t>ADQUIRIR COMPONENTES PARA TECNOLOGIA DE LA INFORMACION</t>
  </si>
  <si>
    <t>43201404</t>
  </si>
  <si>
    <t>43201402</t>
  </si>
  <si>
    <t>43201608</t>
  </si>
  <si>
    <t>44102906</t>
  </si>
  <si>
    <t>43211708</t>
  </si>
  <si>
    <t>ADQUIRIR MAQUINARIA, SUMINISTROS Y ACCESORIOS DE OFICINA</t>
  </si>
  <si>
    <t>44103103</t>
  </si>
  <si>
    <t>ADQUIRIR SUMINISTROS DE LIMPIEZA</t>
  </si>
  <si>
    <t>47121804</t>
  </si>
  <si>
    <t>47131503</t>
  </si>
  <si>
    <t>47121807</t>
  </si>
  <si>
    <t>47121806</t>
  </si>
  <si>
    <t>47131605</t>
  </si>
  <si>
    <t>47121803</t>
  </si>
  <si>
    <t>47131604</t>
  </si>
  <si>
    <t>47131618</t>
  </si>
  <si>
    <t>47131810</t>
  </si>
  <si>
    <t>47131824</t>
  </si>
  <si>
    <t>47131801</t>
  </si>
  <si>
    <t>41103206</t>
  </si>
  <si>
    <t>47131812</t>
  </si>
  <si>
    <t>47131829</t>
  </si>
  <si>
    <t>47131807</t>
  </si>
  <si>
    <t>47131710</t>
  </si>
  <si>
    <t>27131510</t>
  </si>
  <si>
    <t>ADQUIRIR UTENSILIOS DESECHABLES</t>
  </si>
  <si>
    <t>52151504</t>
  </si>
  <si>
    <t>14111704</t>
  </si>
  <si>
    <t>14111703</t>
  </si>
  <si>
    <t>47121701</t>
  </si>
  <si>
    <t>ADQUIRIR PINTURAS Y TAPA POROS Y ACABADOS</t>
  </si>
  <si>
    <t>31211508</t>
  </si>
  <si>
    <t>60122701</t>
  </si>
  <si>
    <t>31211604</t>
  </si>
  <si>
    <t>24111501</t>
  </si>
  <si>
    <t>31211904</t>
  </si>
  <si>
    <t>31211906</t>
  </si>
  <si>
    <t>31211909</t>
  </si>
  <si>
    <t>ADQUIRIR BOTELLAS DE AGUA</t>
  </si>
  <si>
    <t>50202301</t>
  </si>
  <si>
    <t>ADQUIRIR CHOCOLATES, AZUCARES, ENDULCORANTES Y PRODUCTOS DE CONFITERIA</t>
  </si>
  <si>
    <t>ADQUISICIÓN CHOCOLATES, AZUCARES, EDULCORANTES Y PRODUCTOS DE CONFITERÍA</t>
  </si>
  <si>
    <t>50201714</t>
  </si>
  <si>
    <t>50161509</t>
  </si>
  <si>
    <t>50201706</t>
  </si>
  <si>
    <t>50201713</t>
  </si>
  <si>
    <t>PRODUCTOS PARA PREMIACION DEFENSOR DEL AÑO</t>
  </si>
  <si>
    <t>49101702</t>
  </si>
  <si>
    <t>49101704</t>
  </si>
  <si>
    <t>55101517</t>
  </si>
  <si>
    <t>55101515</t>
  </si>
  <si>
    <t>ADQUIRIR EQUIPOS Y MATERIALES DE PROTECCION Y PREVENCION</t>
  </si>
  <si>
    <t xml:space="preserve">ADQUISICIION EQUIPOS Y MATERIALES DE PROTECCION Y PREVENCION </t>
  </si>
  <si>
    <t>42131606</t>
  </si>
  <si>
    <t>46181702</t>
  </si>
  <si>
    <t>12352104</t>
  </si>
  <si>
    <t>ADQUISICION EQUIPOS Y MATERIALES DE PROTECCION Y PREVENCION</t>
  </si>
  <si>
    <t xml:space="preserve">OTROS ARTICULOS NO DETALLADOS </t>
  </si>
  <si>
    <t xml:space="preserve">ADQUISICION OTROS ARTICULOS </t>
  </si>
  <si>
    <t>13102030</t>
  </si>
  <si>
    <t>40142008</t>
  </si>
  <si>
    <t>54111601</t>
  </si>
  <si>
    <t>39111705</t>
  </si>
  <si>
    <t>24112401</t>
  </si>
  <si>
    <t xml:space="preserve">SERVICIOS DE ALMUERZOS Y CENAS </t>
  </si>
  <si>
    <t>SERVICIOS DE ALMUERZOS Y CENAS PARA MILITARES DE LA SESE PRINCIPAL DE LA ONDP</t>
  </si>
  <si>
    <t xml:space="preserve">DEFENSAS CAMIONETAS NISSAN FORNTIER </t>
  </si>
  <si>
    <t>JUEGO DE DEFENSAS TRASERAS Y DELANTERAS CAMIONETAS NISSAN FORNTIER 2021</t>
  </si>
  <si>
    <t>25172603</t>
  </si>
  <si>
    <t xml:space="preserve">TERMOMETROS DIGITALES </t>
  </si>
  <si>
    <t>ADQUIRIRI TERMOMETROS PARA PREVENCION DEL COVID-19</t>
  </si>
  <si>
    <t>41112213</t>
  </si>
  <si>
    <t>ELECTRODOMESTICOS</t>
  </si>
  <si>
    <t>ADQUIRIR ELECTRODOMESTICOS NECESARIOS PARA VARIAS OFICINAS DE LA ONDP</t>
  </si>
  <si>
    <t>48101714</t>
  </si>
  <si>
    <t>48101521</t>
  </si>
  <si>
    <t>52141502</t>
  </si>
  <si>
    <t xml:space="preserve">CORTINAS TIPOS VENECIANAS Y ENROLLABLES </t>
  </si>
  <si>
    <t xml:space="preserve">ADQUIRIR CORTINAS PARA VARIAS OFICINAS </t>
  </si>
  <si>
    <t>52131602</t>
  </si>
  <si>
    <t>52131601</t>
  </si>
  <si>
    <t xml:space="preserve">ALQUILER DE FOTOCOPIADORAS </t>
  </si>
  <si>
    <t>ALQUILAR FOTOCOPIADORAS PARA LAS DIFERENTES OFICINAS DE LA ONDP A NIVEL NACIONAL.</t>
  </si>
  <si>
    <t>44101501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</si>
</sst>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RD$-1C0A]* #,##0.00_-;\-[$RD$-1C0A]* #,##0.00_-;_-[$RD$-1C0A]* &quot;-&quot;??_-;_-@_-"/>
    <numFmt numFmtId="165" formatCode="dd/mm/yyyy"/>
    <numFmt numFmtId="166" formatCode="dd\-mm\-yyyy"/>
    <numFmt numFmtId="167" formatCode="_-[$RD$-1C0A]* #,##0.00_ ;_-[$RD$-1C0A]* \-#,##0.00\ ;_-[$RD$-1C0A]* &quot; - &quot;??_ ;_-@_ "/>
  </numFmts>
  <fonts count="12" x14ac:knownFonts="1">
    <font>
      <sz val="11"/>
      <color theme="1"/>
      <name val="Calibri"/>
      <family val="2"/>
      <scheme val="minor"/>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b/>
      <sz val="9"/>
      <name val="Tahoma"/>
      <family val="2"/>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9" fillId="5" borderId="6">
      <alignment horizontal="center" vertical="center" wrapText="1"/>
    </xf>
    <xf numFmtId="0" fontId="9" fillId="0" borderId="6">
      <alignment horizontal="center" vertical="center"/>
    </xf>
    <xf numFmtId="0" fontId="9" fillId="5" borderId="6">
      <alignment horizontal="center" vertical="center" textRotation="90" wrapText="1"/>
    </xf>
    <xf numFmtId="0" fontId="9" fillId="6" borderId="6">
      <alignment horizontal="center" vertical="center"/>
    </xf>
    <xf numFmtId="166" fontId="9" fillId="0" borderId="6">
      <alignment horizontal="center" vertical="center"/>
    </xf>
    <xf numFmtId="0" fontId="9" fillId="6" borderId="6">
      <alignment horizontal="center" vertical="center"/>
    </xf>
    <xf numFmtId="0" fontId="9" fillId="0" borderId="6">
      <alignment horizontal="left" vertical="center"/>
    </xf>
    <xf numFmtId="0" fontId="9" fillId="0" borderId="6">
      <alignment horizontal="center" vertical="center"/>
    </xf>
    <xf numFmtId="0" fontId="9" fillId="7" borderId="6">
      <alignment horizontal="center" vertical="center"/>
    </xf>
    <xf numFmtId="0" fontId="10" fillId="8" borderId="8">
      <alignment horizontal="center" vertical="center"/>
    </xf>
    <xf numFmtId="0" fontId="10" fillId="8" borderId="8">
      <alignment horizontal="center" vertical="center" wrapText="1"/>
    </xf>
    <xf numFmtId="0" fontId="10" fillId="8" borderId="8">
      <alignment horizontal="left" vertical="center"/>
    </xf>
    <xf numFmtId="167" fontId="10" fillId="8" borderId="8">
      <alignment horizontal="center" vertical="center"/>
    </xf>
  </cellStyleXfs>
  <cellXfs count="51">
    <xf numFmtId="0" fontId="0" fillId="0" borderId="0" xfId="0"/>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 xfId="0" applyFont="1" applyBorder="1" applyAlignment="1" applyProtection="1">
      <alignment vertical="center"/>
      <protection hidden="1"/>
    </xf>
    <xf numFmtId="0" fontId="2" fillId="2" borderId="0" xfId="0" applyFont="1" applyFill="1" applyBorder="1" applyAlignment="1" applyProtection="1">
      <alignment vertical="top" wrapText="1"/>
    </xf>
    <xf numFmtId="0" fontId="2"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0" xfId="0" applyFont="1" applyFill="1" applyAlignment="1" applyProtection="1">
      <alignment vertical="center"/>
      <protection hidden="1"/>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38" fontId="6" fillId="3" borderId="4" xfId="0" applyNumberFormat="1" applyFont="1" applyFill="1" applyBorder="1" applyAlignment="1" applyProtection="1">
      <alignment vertical="center" wrapText="1"/>
    </xf>
    <xf numFmtId="0" fontId="4" fillId="0" borderId="0" xfId="0" applyFont="1" applyAlignment="1" applyProtection="1">
      <alignment vertical="center"/>
      <protection hidden="1"/>
    </xf>
    <xf numFmtId="0" fontId="5" fillId="2" borderId="0" xfId="0" applyFont="1" applyFill="1" applyBorder="1" applyAlignment="1" applyProtection="1">
      <alignment vertical="center"/>
    </xf>
    <xf numFmtId="0" fontId="6" fillId="4" borderId="4" xfId="0" applyFont="1" applyFill="1" applyBorder="1" applyAlignment="1" applyProtection="1">
      <alignment horizontal="left" vertical="center"/>
    </xf>
    <xf numFmtId="0" fontId="7" fillId="0" borderId="6" xfId="0" applyFont="1" applyFill="1" applyBorder="1" applyAlignment="1" applyProtection="1">
      <alignment vertical="center"/>
    </xf>
    <xf numFmtId="0" fontId="6" fillId="4" borderId="7" xfId="0" applyFont="1" applyFill="1" applyBorder="1" applyAlignment="1" applyProtection="1">
      <alignment horizontal="left" vertical="center"/>
    </xf>
    <xf numFmtId="164" fontId="7" fillId="0" borderId="6" xfId="0" applyNumberFormat="1" applyFont="1" applyFill="1" applyBorder="1" applyAlignment="1" applyProtection="1">
      <alignment vertical="center"/>
    </xf>
    <xf numFmtId="0" fontId="4" fillId="2" borderId="2" xfId="0" applyFont="1" applyFill="1" applyBorder="1" applyAlignment="1" applyProtection="1">
      <alignment vertical="center"/>
      <protection hidden="1"/>
    </xf>
    <xf numFmtId="0" fontId="8" fillId="0" borderId="0" xfId="0" applyFont="1" applyAlignment="1" applyProtection="1">
      <alignment vertical="center"/>
    </xf>
    <xf numFmtId="0" fontId="9" fillId="5" borderId="6" xfId="1">
      <alignment horizontal="center" vertical="center" wrapText="1"/>
    </xf>
    <xf numFmtId="0" fontId="9" fillId="0" borderId="6" xfId="2" applyProtection="1">
      <alignment horizontal="center" vertical="center"/>
      <protection locked="0"/>
    </xf>
    <xf numFmtId="0" fontId="9" fillId="6" borderId="6" xfId="4">
      <alignment horizontal="center" vertical="center"/>
    </xf>
    <xf numFmtId="166" fontId="9" fillId="0" borderId="6" xfId="5" applyProtection="1">
      <alignment horizontal="center" vertical="center"/>
      <protection locked="0"/>
    </xf>
    <xf numFmtId="0" fontId="9" fillId="6" borderId="6" xfId="6">
      <alignment horizontal="center" vertical="center"/>
    </xf>
    <xf numFmtId="0" fontId="9" fillId="0" borderId="6" xfId="7" applyProtection="1">
      <alignment horizontal="left" vertical="center"/>
      <protection locked="0"/>
    </xf>
    <xf numFmtId="0" fontId="9" fillId="0" borderId="6" xfId="8">
      <alignment horizontal="center" vertical="center"/>
    </xf>
    <xf numFmtId="0" fontId="9" fillId="7" borderId="6" xfId="9" applyFont="1">
      <alignment horizontal="center" vertical="center"/>
    </xf>
    <xf numFmtId="0" fontId="10" fillId="8" borderId="8" xfId="10" applyProtection="1">
      <alignment horizontal="center" vertical="center"/>
      <protection locked="0"/>
    </xf>
    <xf numFmtId="0" fontId="10" fillId="8" borderId="8" xfId="11">
      <alignment horizontal="center" vertical="center" wrapText="1"/>
    </xf>
    <xf numFmtId="0" fontId="10" fillId="8" borderId="8" xfId="12" applyProtection="1">
      <alignment horizontal="left" vertical="center"/>
      <protection locked="0"/>
    </xf>
    <xf numFmtId="167" fontId="10" fillId="8" borderId="8" xfId="13" applyProtection="1">
      <alignment horizontal="center" vertical="center"/>
      <protection locked="0"/>
    </xf>
    <xf numFmtId="167" fontId="10" fillId="8" borderId="8" xfId="13">
      <alignment horizontal="center" vertical="center"/>
    </xf>
    <xf numFmtId="0" fontId="9" fillId="7" borderId="8" xfId="9" applyFont="1" applyBorder="1">
      <alignment horizontal="center" vertical="center"/>
    </xf>
    <xf numFmtId="167" fontId="10" fillId="7" borderId="8" xfId="13" applyFill="1">
      <alignment horizontal="center" vertical="center"/>
    </xf>
    <xf numFmtId="0" fontId="9" fillId="5" borderId="6" xfId="1" applyAlignment="1">
      <alignment horizontal="center" vertical="center" wrapText="1"/>
    </xf>
    <xf numFmtId="0" fontId="9" fillId="0" borderId="6" xfId="2" applyAlignment="1" applyProtection="1">
      <alignment horizontal="center" vertical="center" wrapText="1"/>
      <protection locked="0"/>
    </xf>
    <xf numFmtId="0" fontId="9" fillId="6" borderId="6" xfId="4" applyAlignment="1">
      <alignment horizontal="center" vertical="center" wrapText="1"/>
    </xf>
    <xf numFmtId="0" fontId="1" fillId="0"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9" fillId="5" borderId="6" xfId="3">
      <alignment horizontal="center" vertical="center" textRotation="90" wrapText="1"/>
    </xf>
    <xf numFmtId="0" fontId="9" fillId="0" borderId="6" xfId="2">
      <alignment horizontal="center" vertical="center"/>
    </xf>
    <xf numFmtId="1" fontId="7" fillId="0" borderId="4"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cellXfs>
  <cellStyles count="14">
    <cellStyle name="ArticleBody" xfId="10"/>
    <cellStyle name="ArticleBody_currency" xfId="13"/>
    <cellStyle name="ArticleBody_text" xfId="12"/>
    <cellStyle name="ArticleBody_UNSCPCDescription" xfId="11"/>
    <cellStyle name="ArticleHeader" xfId="9"/>
    <cellStyle name="Normal" xfId="0" builtinId="0"/>
    <cellStyle name="ProcessBody" xfId="2"/>
    <cellStyle name="ProcessBody_address" xfId="7"/>
    <cellStyle name="ProcessBody_datetime" xfId="5"/>
    <cellStyle name="ProcessBody_number" xfId="8"/>
    <cellStyle name="ProcessHeader" xfId="1"/>
    <cellStyle name="ProcessHeader_vertical" xfId="3"/>
    <cellStyle name="ProcessSubHeader" xfId="4"/>
    <cellStyle name="ProcessSubHeader_luga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549822</xdr:colOff>
      <xdr:row>3</xdr:row>
      <xdr:rowOff>139700</xdr:rowOff>
    </xdr:to>
    <xdr:pic>
      <xdr:nvPicPr>
        <xdr:cNvPr id="4" name="Picture 4"/>
        <xdr:cNvPicPr>
          <a:picLocks noChangeAspect="1"/>
        </xdr:cNvPicPr>
      </xdr:nvPicPr>
      <xdr:blipFill>
        <a:blip xmlns:r="http://schemas.openxmlformats.org/officeDocument/2006/relationships" r:embed="rId1"/>
        <a:stretch>
          <a:fillRect/>
        </a:stretch>
      </xdr:blipFill>
      <xdr:spPr bwMode="auto">
        <a:xfrm>
          <a:off x="0" y="161925"/>
          <a:ext cx="1762672" cy="6699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57150</xdr:rowOff>
    </xdr:to>
    <xdr:pic>
      <xdr:nvPicPr>
        <xdr:cNvPr id="5" name="Picture 5"/>
        <xdr:cNvPicPr>
          <a:picLocks noChangeAspect="1"/>
        </xdr:cNvPicPr>
      </xdr:nvPicPr>
      <xdr:blipFill>
        <a:blip xmlns:r="http://schemas.openxmlformats.org/officeDocument/2006/relationships" r:embed="rId2"/>
        <a:stretch>
          <a:fillRect/>
        </a:stretch>
      </xdr:blipFill>
      <xdr:spPr>
        <a:xfrm>
          <a:off x="4152900" y="9525"/>
          <a:ext cx="1009650" cy="968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willmore/Downloads/PAC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cell r="P44"/>
          <cell r="Q44"/>
        </row>
        <row r="45">
          <cell r="E45" t="str">
            <v>Hermanas Mirabal</v>
          </cell>
          <cell r="F45" t="str">
            <v>Villa Tapia</v>
          </cell>
          <cell r="I45" t="str">
            <v>El Pino</v>
          </cell>
          <cell r="J45" t="str">
            <v>Manuel Bueno</v>
          </cell>
          <cell r="P45"/>
          <cell r="Q45"/>
        </row>
        <row r="46">
          <cell r="E46" t="str">
            <v>María Trinidad Sánchez</v>
          </cell>
          <cell r="F46" t="str">
            <v>Nagua</v>
          </cell>
          <cell r="I46" t="str">
            <v>Loma de Cabrera</v>
          </cell>
          <cell r="J46" t="str">
            <v>Capotillo</v>
          </cell>
          <cell r="P46"/>
          <cell r="Q46"/>
        </row>
        <row r="47">
          <cell r="E47" t="str">
            <v>María Trinidad Sánchez</v>
          </cell>
          <cell r="F47" t="str">
            <v>Cabrera</v>
          </cell>
          <cell r="I47" t="str">
            <v>Loma de Cabrera</v>
          </cell>
          <cell r="J47" t="str">
            <v>Loma de Cabrera</v>
          </cell>
          <cell r="P47"/>
          <cell r="Q47"/>
        </row>
        <row r="48">
          <cell r="E48" t="str">
            <v>María Trinidad Sánchez</v>
          </cell>
          <cell r="F48" t="str">
            <v>El Factor</v>
          </cell>
          <cell r="I48" t="str">
            <v>Loma de Cabrera</v>
          </cell>
          <cell r="J48" t="str">
            <v>Santiago de la Cruz</v>
          </cell>
          <cell r="P48"/>
          <cell r="Q48"/>
        </row>
        <row r="49">
          <cell r="E49" t="str">
            <v>María Trinidad Sánchez</v>
          </cell>
          <cell r="F49" t="str">
            <v>Río San Juan</v>
          </cell>
          <cell r="I49" t="str">
            <v>Partido</v>
          </cell>
          <cell r="J49" t="str">
            <v>Partido</v>
          </cell>
          <cell r="P49"/>
          <cell r="Q49"/>
        </row>
        <row r="50">
          <cell r="E50" t="str">
            <v>Samaná</v>
          </cell>
          <cell r="F50" t="str">
            <v>Santa Bárbara de Samaná</v>
          </cell>
          <cell r="I50" t="str">
            <v>Restauración</v>
          </cell>
          <cell r="J50" t="str">
            <v>Restauración</v>
          </cell>
          <cell r="P50"/>
          <cell r="Q50"/>
        </row>
        <row r="51">
          <cell r="E51" t="str">
            <v>Samaná</v>
          </cell>
          <cell r="F51" t="str">
            <v>Sánchez</v>
          </cell>
          <cell r="I51" t="str">
            <v>Castañuelas</v>
          </cell>
          <cell r="J51" t="str">
            <v>Castañuelas</v>
          </cell>
          <cell r="P51"/>
          <cell r="Q51"/>
        </row>
        <row r="52">
          <cell r="E52" t="str">
            <v>Samaná</v>
          </cell>
          <cell r="F52" t="str">
            <v>Las Terrenas</v>
          </cell>
          <cell r="I52" t="str">
            <v>Castañuelas</v>
          </cell>
          <cell r="J52" t="str">
            <v>Palo Verde</v>
          </cell>
          <cell r="P52"/>
          <cell r="Q52"/>
        </row>
        <row r="53">
          <cell r="E53" t="str">
            <v>Valverde</v>
          </cell>
          <cell r="F53" t="str">
            <v>Santa Cruz de Mao</v>
          </cell>
          <cell r="I53" t="str">
            <v>Guayubín</v>
          </cell>
          <cell r="J53" t="str">
            <v>Cana Chapetón</v>
          </cell>
          <cell r="P53"/>
          <cell r="Q53"/>
        </row>
        <row r="54">
          <cell r="E54" t="str">
            <v>Valverde</v>
          </cell>
          <cell r="F54" t="str">
            <v>Esperanza</v>
          </cell>
          <cell r="I54" t="str">
            <v>Guayubín</v>
          </cell>
          <cell r="J54" t="str">
            <v>Guayubín</v>
          </cell>
          <cell r="P54"/>
          <cell r="Q54"/>
        </row>
        <row r="55">
          <cell r="E55" t="str">
            <v>Valverde</v>
          </cell>
          <cell r="F55" t="str">
            <v>Laguna Salada</v>
          </cell>
          <cell r="I55" t="str">
            <v>Guayubín</v>
          </cell>
          <cell r="J55" t="str">
            <v>Hatillo Palma</v>
          </cell>
          <cell r="P55"/>
          <cell r="Q55"/>
        </row>
        <row r="56">
          <cell r="E56" t="str">
            <v>Santiago Rodriguez</v>
          </cell>
          <cell r="F56" t="str">
            <v>San Ignacio de Sabaneta</v>
          </cell>
          <cell r="I56" t="str">
            <v>Guayubín</v>
          </cell>
          <cell r="J56" t="str">
            <v>Villa Elisa</v>
          </cell>
          <cell r="P56"/>
          <cell r="Q56"/>
        </row>
        <row r="57">
          <cell r="E57" t="str">
            <v>Santiago Rodriguez</v>
          </cell>
          <cell r="F57" t="str">
            <v>Villa los Almácigos</v>
          </cell>
          <cell r="I57" t="str">
            <v>Las Matas de Santa Cruz</v>
          </cell>
          <cell r="J57" t="str">
            <v>Las Matas de Santa Cruz</v>
          </cell>
          <cell r="P57"/>
          <cell r="Q57"/>
        </row>
        <row r="58">
          <cell r="E58" t="str">
            <v>Santiago Rodriguez</v>
          </cell>
          <cell r="F58" t="str">
            <v>Monción</v>
          </cell>
          <cell r="I58" t="str">
            <v>Pepillo Salcedo</v>
          </cell>
          <cell r="J58" t="str">
            <v>Pepillo Salcedo</v>
          </cell>
          <cell r="P58"/>
          <cell r="Q58"/>
        </row>
        <row r="59">
          <cell r="E59" t="str">
            <v>Montecristi</v>
          </cell>
          <cell r="F59" t="str">
            <v>San Fernando de Montecristi</v>
          </cell>
          <cell r="I59" t="str">
            <v>San Fernando de Montecristi</v>
          </cell>
          <cell r="J59" t="str">
            <v>San Fernando de Montecristi</v>
          </cell>
          <cell r="P59"/>
          <cell r="Q59"/>
        </row>
        <row r="60">
          <cell r="E60" t="str">
            <v>Montecristi</v>
          </cell>
          <cell r="F60" t="str">
            <v>Castañuelas</v>
          </cell>
          <cell r="I60" t="str">
            <v>Villa Vásquez</v>
          </cell>
          <cell r="J60" t="str">
            <v>Villa Vásquez</v>
          </cell>
          <cell r="P60"/>
          <cell r="Q60"/>
        </row>
        <row r="61">
          <cell r="E61" t="str">
            <v>Montecristi</v>
          </cell>
          <cell r="F61" t="str">
            <v>Guayubín</v>
          </cell>
          <cell r="I61" t="str">
            <v>Monción</v>
          </cell>
          <cell r="J61" t="str">
            <v>Monción</v>
          </cell>
          <cell r="P61"/>
          <cell r="Q61"/>
        </row>
        <row r="62">
          <cell r="E62" t="str">
            <v>Montecristi</v>
          </cell>
          <cell r="F62" t="str">
            <v>Las Matas de Santa Cruz</v>
          </cell>
          <cell r="I62" t="str">
            <v>San Ignacio de Sabaneta</v>
          </cell>
          <cell r="J62" t="str">
            <v>San Ignacio de Sabaneta</v>
          </cell>
          <cell r="P62"/>
          <cell r="Q62"/>
        </row>
        <row r="63">
          <cell r="E63" t="str">
            <v>Montecristi</v>
          </cell>
          <cell r="F63" t="str">
            <v>Pepillo Salcedo</v>
          </cell>
          <cell r="I63" t="str">
            <v>Villa los Almácigos</v>
          </cell>
          <cell r="J63" t="str">
            <v>Villa los Almácigos</v>
          </cell>
          <cell r="P63"/>
          <cell r="Q63"/>
        </row>
        <row r="64">
          <cell r="E64" t="str">
            <v>Montecristi</v>
          </cell>
          <cell r="F64" t="str">
            <v>Villa Vásquez</v>
          </cell>
          <cell r="I64" t="str">
            <v>Esperanza</v>
          </cell>
          <cell r="J64" t="str">
            <v>Boca de Mao</v>
          </cell>
          <cell r="P64"/>
          <cell r="Q64"/>
        </row>
        <row r="65">
          <cell r="E65" t="str">
            <v>Dajabón</v>
          </cell>
          <cell r="F65" t="str">
            <v>Dajabón</v>
          </cell>
          <cell r="I65" t="str">
            <v>Esperanza</v>
          </cell>
          <cell r="J65" t="str">
            <v>Esperanza</v>
          </cell>
          <cell r="P65"/>
          <cell r="Q65"/>
        </row>
        <row r="66">
          <cell r="E66" t="str">
            <v>Dajabón</v>
          </cell>
          <cell r="F66" t="str">
            <v>Loma de Cabrera</v>
          </cell>
          <cell r="I66" t="str">
            <v>Esperanza</v>
          </cell>
          <cell r="J66" t="str">
            <v>Jicomé</v>
          </cell>
          <cell r="P66"/>
          <cell r="Q66"/>
        </row>
        <row r="67">
          <cell r="E67" t="str">
            <v>Dajabón</v>
          </cell>
          <cell r="F67" t="str">
            <v>Restauración</v>
          </cell>
          <cell r="I67" t="str">
            <v>Esperanza</v>
          </cell>
          <cell r="J67" t="str">
            <v>Maizal</v>
          </cell>
          <cell r="P67"/>
          <cell r="Q67"/>
        </row>
        <row r="68">
          <cell r="E68" t="str">
            <v>Dajabón</v>
          </cell>
          <cell r="F68" t="str">
            <v>Partido</v>
          </cell>
          <cell r="I68" t="str">
            <v>Esperanza</v>
          </cell>
          <cell r="J68" t="str">
            <v>Paradero</v>
          </cell>
          <cell r="P68"/>
          <cell r="Q68"/>
        </row>
        <row r="69">
          <cell r="E69" t="str">
            <v>Dajabón</v>
          </cell>
          <cell r="F69" t="str">
            <v>El Pino</v>
          </cell>
          <cell r="I69" t="str">
            <v>Laguna Salada</v>
          </cell>
          <cell r="J69" t="str">
            <v>Cruce de Guayacanes</v>
          </cell>
          <cell r="P69"/>
          <cell r="Q69"/>
        </row>
        <row r="70">
          <cell r="E70" t="str">
            <v>San Cristóbal</v>
          </cell>
          <cell r="F70" t="str">
            <v>San Cristóbal</v>
          </cell>
          <cell r="I70" t="str">
            <v>Laguna Salada</v>
          </cell>
          <cell r="J70" t="str">
            <v>Jaibón (Laguna Salada)</v>
          </cell>
          <cell r="P70"/>
          <cell r="Q70"/>
        </row>
        <row r="71">
          <cell r="E71" t="str">
            <v>San Cristóbal</v>
          </cell>
          <cell r="F71" t="str">
            <v>Bajos de Haina</v>
          </cell>
          <cell r="I71" t="str">
            <v>Laguna Salada</v>
          </cell>
          <cell r="J71" t="str">
            <v>La Caya</v>
          </cell>
          <cell r="P71"/>
          <cell r="Q71"/>
        </row>
        <row r="72">
          <cell r="E72" t="str">
            <v>San Cristóbal</v>
          </cell>
          <cell r="F72" t="str">
            <v>Los Cacaos</v>
          </cell>
          <cell r="I72" t="str">
            <v>Laguna Salada</v>
          </cell>
          <cell r="J72" t="str">
            <v>Laguna Salada</v>
          </cell>
          <cell r="P72"/>
          <cell r="Q72"/>
        </row>
        <row r="73">
          <cell r="E73" t="str">
            <v>San Cristóbal</v>
          </cell>
          <cell r="F73" t="str">
            <v>Cambita Garabitos</v>
          </cell>
          <cell r="I73" t="str">
            <v>Santa Cruz de Mao</v>
          </cell>
          <cell r="J73" t="str">
            <v>Ámina</v>
          </cell>
          <cell r="P73"/>
          <cell r="Q73"/>
        </row>
        <row r="74">
          <cell r="E74" t="str">
            <v>San Cristóbal</v>
          </cell>
          <cell r="F74" t="str">
            <v>San Gregorio de Nigua</v>
          </cell>
          <cell r="I74" t="str">
            <v>Santa Cruz de Mao</v>
          </cell>
          <cell r="J74" t="str">
            <v>Guatapanal</v>
          </cell>
          <cell r="P74"/>
          <cell r="Q74"/>
        </row>
        <row r="75">
          <cell r="E75" t="str">
            <v>San Cristóbal</v>
          </cell>
          <cell r="F75" t="str">
            <v>Sabana Grande de Palenque</v>
          </cell>
          <cell r="I75" t="str">
            <v>Santa Cruz de Mao</v>
          </cell>
          <cell r="J75" t="str">
            <v>Jaibón (Pueblo Nuevo)</v>
          </cell>
          <cell r="P75"/>
          <cell r="Q75"/>
        </row>
        <row r="76">
          <cell r="E76" t="str">
            <v>San Cristóbal</v>
          </cell>
          <cell r="F76" t="str">
            <v>Yaguate</v>
          </cell>
          <cell r="I76" t="str">
            <v>Santa Cruz de Mao</v>
          </cell>
          <cell r="J76" t="str">
            <v>Santa Cruz de Mao</v>
          </cell>
          <cell r="P76"/>
          <cell r="Q76"/>
        </row>
        <row r="77">
          <cell r="E77" t="str">
            <v>San Cristóbal</v>
          </cell>
          <cell r="F77" t="str">
            <v>Villa Altagracia</v>
          </cell>
          <cell r="I77" t="str">
            <v>Cayetano Germosén</v>
          </cell>
          <cell r="J77" t="str">
            <v>Cayetano Germosén</v>
          </cell>
          <cell r="P77"/>
          <cell r="Q77"/>
        </row>
        <row r="78">
          <cell r="E78" t="str">
            <v>Peravia</v>
          </cell>
          <cell r="F78" t="str">
            <v>Baní</v>
          </cell>
          <cell r="I78" t="str">
            <v>Gaspar Hernández</v>
          </cell>
          <cell r="J78" t="str">
            <v>Gaspar Hernández</v>
          </cell>
          <cell r="P78"/>
          <cell r="Q78"/>
        </row>
        <row r="79">
          <cell r="E79" t="str">
            <v>Peravia</v>
          </cell>
          <cell r="F79" t="str">
            <v>Nizao</v>
          </cell>
          <cell r="I79" t="str">
            <v>Gaspar Hernández</v>
          </cell>
          <cell r="J79" t="str">
            <v>Joba Arriba</v>
          </cell>
          <cell r="P79"/>
          <cell r="Q79"/>
        </row>
        <row r="80">
          <cell r="E80" t="str">
            <v>San José de Ocoa</v>
          </cell>
          <cell r="F80" t="str">
            <v>San José de Ocoa</v>
          </cell>
          <cell r="I80" t="str">
            <v>Gaspar Hernández</v>
          </cell>
          <cell r="J80" t="str">
            <v>Veragua</v>
          </cell>
          <cell r="P80"/>
          <cell r="Q80"/>
        </row>
        <row r="81">
          <cell r="E81" t="str">
            <v>San José de Ocoa</v>
          </cell>
          <cell r="F81" t="str">
            <v>Sabana Larga</v>
          </cell>
          <cell r="I81" t="str">
            <v>Gaspar Hernández</v>
          </cell>
          <cell r="J81" t="str">
            <v>Villa Magante</v>
          </cell>
          <cell r="P81"/>
          <cell r="Q81"/>
        </row>
        <row r="82">
          <cell r="E82" t="str">
            <v>San José de Ocoa</v>
          </cell>
          <cell r="F82" t="str">
            <v>Rancho Arriba</v>
          </cell>
          <cell r="I82" t="str">
            <v>Jamao al Norte</v>
          </cell>
          <cell r="J82" t="str">
            <v>Jamao al Norte</v>
          </cell>
          <cell r="P82"/>
          <cell r="Q82"/>
        </row>
        <row r="83">
          <cell r="E83" t="str">
            <v>Azua</v>
          </cell>
          <cell r="F83" t="str">
            <v>Azua de Compostela</v>
          </cell>
          <cell r="I83" t="str">
            <v>Moca</v>
          </cell>
          <cell r="J83" t="str">
            <v>Canca la Reina</v>
          </cell>
          <cell r="P83"/>
          <cell r="Q83"/>
        </row>
        <row r="84">
          <cell r="E84" t="str">
            <v>Azua</v>
          </cell>
          <cell r="F84" t="str">
            <v>Guayabal</v>
          </cell>
          <cell r="I84" t="str">
            <v>Moca</v>
          </cell>
          <cell r="J84" t="str">
            <v>El Higuerito</v>
          </cell>
          <cell r="P84"/>
          <cell r="Q84"/>
        </row>
        <row r="85">
          <cell r="E85" t="str">
            <v>Azua</v>
          </cell>
          <cell r="F85" t="str">
            <v>Las Charcas</v>
          </cell>
          <cell r="I85" t="str">
            <v>Moca</v>
          </cell>
          <cell r="J85" t="str">
            <v>José Contreras</v>
          </cell>
          <cell r="P85"/>
          <cell r="Q85"/>
        </row>
        <row r="86">
          <cell r="E86" t="str">
            <v>Azua</v>
          </cell>
          <cell r="F86" t="str">
            <v>Las Yayas de Viajama</v>
          </cell>
          <cell r="I86" t="str">
            <v>Moca</v>
          </cell>
          <cell r="J86" t="str">
            <v>Juan López</v>
          </cell>
          <cell r="P86"/>
          <cell r="Q86"/>
        </row>
        <row r="87">
          <cell r="E87" t="str">
            <v>Azua</v>
          </cell>
          <cell r="F87" t="str">
            <v>Padre Las Casas</v>
          </cell>
          <cell r="I87" t="str">
            <v>Moca</v>
          </cell>
          <cell r="J87" t="str">
            <v>La Ortega</v>
          </cell>
          <cell r="P87"/>
          <cell r="Q87"/>
        </row>
        <row r="88">
          <cell r="E88" t="str">
            <v>Azua</v>
          </cell>
          <cell r="F88" t="str">
            <v>Peralta</v>
          </cell>
          <cell r="I88" t="str">
            <v>Moca</v>
          </cell>
          <cell r="J88" t="str">
            <v>Las Lagunas Abajo</v>
          </cell>
          <cell r="P88"/>
          <cell r="Q88"/>
        </row>
        <row r="89">
          <cell r="E89" t="str">
            <v>Azua</v>
          </cell>
          <cell r="F89" t="str">
            <v>Sabana Yegua</v>
          </cell>
          <cell r="I89" t="str">
            <v>Moca</v>
          </cell>
          <cell r="J89" t="str">
            <v>Moca</v>
          </cell>
          <cell r="P89"/>
          <cell r="Q89"/>
        </row>
        <row r="90">
          <cell r="E90" t="str">
            <v>Azua</v>
          </cell>
          <cell r="F90" t="str">
            <v>Tábara Arriba</v>
          </cell>
          <cell r="I90" t="str">
            <v>Moca</v>
          </cell>
          <cell r="J90" t="str">
            <v>Monte de la Jagua</v>
          </cell>
          <cell r="P90"/>
          <cell r="Q90"/>
        </row>
        <row r="91">
          <cell r="E91" t="str">
            <v>Azua</v>
          </cell>
          <cell r="F91" t="str">
            <v>Estebanía</v>
          </cell>
          <cell r="I91" t="str">
            <v>Moca</v>
          </cell>
          <cell r="J91" t="str">
            <v>San Víctor</v>
          </cell>
          <cell r="P91"/>
          <cell r="Q91"/>
        </row>
        <row r="92">
          <cell r="E92" t="str">
            <v>Azua</v>
          </cell>
          <cell r="F92" t="str">
            <v>Pueblo Viejo</v>
          </cell>
          <cell r="I92" t="str">
            <v>Altamira</v>
          </cell>
          <cell r="J92" t="str">
            <v>Altamira</v>
          </cell>
          <cell r="P92"/>
          <cell r="Q92"/>
        </row>
        <row r="93">
          <cell r="E93" t="str">
            <v>Barahona</v>
          </cell>
          <cell r="F93" t="str">
            <v>Santa Cruz de Barahona</v>
          </cell>
          <cell r="I93" t="str">
            <v>Altamira</v>
          </cell>
          <cell r="J93" t="str">
            <v>Río Grande</v>
          </cell>
          <cell r="P93"/>
          <cell r="Q93"/>
        </row>
        <row r="94">
          <cell r="E94" t="str">
            <v>Barahona</v>
          </cell>
          <cell r="F94" t="str">
            <v>Cabral</v>
          </cell>
          <cell r="I94" t="str">
            <v>Guananico</v>
          </cell>
          <cell r="J94" t="str">
            <v>Guananico</v>
          </cell>
          <cell r="P94"/>
          <cell r="Q94"/>
        </row>
        <row r="95">
          <cell r="E95" t="str">
            <v>Barahona</v>
          </cell>
          <cell r="F95" t="str">
            <v>Enriquillo</v>
          </cell>
          <cell r="I95" t="str">
            <v>Imbert</v>
          </cell>
          <cell r="J95" t="str">
            <v>Imbert</v>
          </cell>
          <cell r="P95"/>
          <cell r="Q95"/>
        </row>
        <row r="96">
          <cell r="E96" t="str">
            <v>Barahona</v>
          </cell>
          <cell r="F96" t="str">
            <v>Las Salinas</v>
          </cell>
          <cell r="I96" t="str">
            <v>Los Hidalgos</v>
          </cell>
          <cell r="J96" t="str">
            <v>Los Hidalgos</v>
          </cell>
          <cell r="P96"/>
          <cell r="Q96"/>
        </row>
        <row r="97">
          <cell r="E97" t="str">
            <v>Barahona</v>
          </cell>
          <cell r="F97" t="str">
            <v>Paraíso</v>
          </cell>
          <cell r="I97" t="str">
            <v>Los Hidalgos</v>
          </cell>
          <cell r="J97" t="str">
            <v>Navas</v>
          </cell>
          <cell r="P97"/>
          <cell r="Q97"/>
        </row>
        <row r="98">
          <cell r="E98" t="str">
            <v>Barahona</v>
          </cell>
          <cell r="F98" t="str">
            <v>Polo</v>
          </cell>
          <cell r="I98" t="str">
            <v>Luperón</v>
          </cell>
          <cell r="J98" t="str">
            <v>Belloso</v>
          </cell>
          <cell r="P98"/>
          <cell r="Q98"/>
        </row>
        <row r="99">
          <cell r="E99" t="str">
            <v>Barahona</v>
          </cell>
          <cell r="F99" t="str">
            <v>Vicente Noble</v>
          </cell>
          <cell r="I99" t="str">
            <v>Luperón</v>
          </cell>
          <cell r="J99" t="str">
            <v>El Estrecho de Luperón Omar Bross</v>
          </cell>
          <cell r="P99"/>
          <cell r="Q99"/>
        </row>
        <row r="100">
          <cell r="E100" t="str">
            <v>Barahona</v>
          </cell>
          <cell r="F100" t="str">
            <v>El Peñón</v>
          </cell>
          <cell r="I100" t="str">
            <v>Luperón</v>
          </cell>
          <cell r="J100" t="str">
            <v>La Isabela</v>
          </cell>
          <cell r="P100"/>
          <cell r="Q100"/>
        </row>
        <row r="101">
          <cell r="E101" t="str">
            <v>Barahona</v>
          </cell>
          <cell r="F101" t="str">
            <v>Fundación</v>
          </cell>
          <cell r="I101" t="str">
            <v>Luperón</v>
          </cell>
          <cell r="J101" t="str">
            <v>Luperón</v>
          </cell>
          <cell r="P101"/>
          <cell r="Q101"/>
        </row>
        <row r="102">
          <cell r="E102" t="str">
            <v>Barahona</v>
          </cell>
          <cell r="F102" t="str">
            <v>La Ciénaga</v>
          </cell>
          <cell r="I102" t="str">
            <v>San Felipe de Puerto Plata</v>
          </cell>
          <cell r="J102" t="str">
            <v>Maimón</v>
          </cell>
          <cell r="P102"/>
          <cell r="Q102"/>
        </row>
        <row r="103">
          <cell r="E103" t="str">
            <v>Barahona</v>
          </cell>
          <cell r="F103" t="str">
            <v>Jaquimeyes</v>
          </cell>
          <cell r="I103" t="str">
            <v>San Felipe de Puerto Plata</v>
          </cell>
          <cell r="J103" t="str">
            <v>San Felipe de Puerto Plata</v>
          </cell>
          <cell r="P103"/>
          <cell r="Q103"/>
        </row>
        <row r="104">
          <cell r="E104" t="str">
            <v>Bahoruco</v>
          </cell>
          <cell r="F104" t="str">
            <v>Neyba</v>
          </cell>
          <cell r="I104" t="str">
            <v>San Felipe de Puerto Plata</v>
          </cell>
          <cell r="J104" t="str">
            <v>Yásica Arriba</v>
          </cell>
          <cell r="P104"/>
          <cell r="Q104"/>
        </row>
        <row r="105">
          <cell r="E105" t="str">
            <v>Bahoruco</v>
          </cell>
          <cell r="F105" t="str">
            <v>Galván</v>
          </cell>
          <cell r="I105" t="str">
            <v>Sosúa</v>
          </cell>
          <cell r="J105" t="str">
            <v>Cabarete</v>
          </cell>
          <cell r="P105"/>
          <cell r="Q105"/>
        </row>
        <row r="106">
          <cell r="E106" t="str">
            <v>Bahoruco</v>
          </cell>
          <cell r="F106" t="str">
            <v>Los Ríos</v>
          </cell>
          <cell r="I106" t="str">
            <v>Sosúa</v>
          </cell>
          <cell r="J106" t="str">
            <v>Sabaneta de Yásica</v>
          </cell>
          <cell r="P106"/>
          <cell r="Q106"/>
        </row>
        <row r="107">
          <cell r="E107" t="str">
            <v>Bahoruco</v>
          </cell>
          <cell r="F107" t="str">
            <v>Tamayo</v>
          </cell>
          <cell r="I107" t="str">
            <v>Sosúa</v>
          </cell>
          <cell r="J107" t="str">
            <v>Sosúa</v>
          </cell>
          <cell r="P107"/>
          <cell r="Q107"/>
        </row>
        <row r="108">
          <cell r="E108" t="str">
            <v>Bahoruco</v>
          </cell>
          <cell r="F108" t="str">
            <v>Villa Jaragua</v>
          </cell>
          <cell r="I108" t="str">
            <v>Villa Isabela</v>
          </cell>
          <cell r="J108" t="str">
            <v>Estero Hondo</v>
          </cell>
          <cell r="P108"/>
          <cell r="Q108"/>
        </row>
        <row r="109">
          <cell r="E109" t="str">
            <v>Pedernales</v>
          </cell>
          <cell r="F109" t="str">
            <v>Pedernales</v>
          </cell>
          <cell r="I109" t="str">
            <v>Villa Isabela</v>
          </cell>
          <cell r="J109" t="str">
            <v>Gualete</v>
          </cell>
          <cell r="P109"/>
          <cell r="Q109"/>
        </row>
        <row r="110">
          <cell r="E110" t="str">
            <v>Pedernales</v>
          </cell>
          <cell r="F110" t="str">
            <v>Oviedo</v>
          </cell>
          <cell r="I110" t="str">
            <v>Villa Isabela</v>
          </cell>
          <cell r="J110" t="str">
            <v>La Jaiba</v>
          </cell>
          <cell r="P110"/>
          <cell r="Q110"/>
        </row>
        <row r="111">
          <cell r="E111" t="str">
            <v>Independencia</v>
          </cell>
          <cell r="F111" t="str">
            <v>Jimaní</v>
          </cell>
          <cell r="I111" t="str">
            <v>Villa Isabela</v>
          </cell>
          <cell r="J111" t="str">
            <v>Villa Isabela</v>
          </cell>
          <cell r="P111"/>
          <cell r="Q111"/>
        </row>
        <row r="112">
          <cell r="E112" t="str">
            <v>Independencia</v>
          </cell>
          <cell r="F112" t="str">
            <v>Duvergé</v>
          </cell>
          <cell r="I112" t="str">
            <v>Villa Montellano</v>
          </cell>
          <cell r="J112" t="str">
            <v>Villa Montellano</v>
          </cell>
          <cell r="P112"/>
          <cell r="Q112"/>
        </row>
        <row r="113">
          <cell r="E113" t="str">
            <v>Independencia</v>
          </cell>
          <cell r="F113" t="str">
            <v>La Descubierta</v>
          </cell>
          <cell r="I113" t="str">
            <v>Jánico</v>
          </cell>
          <cell r="J113" t="str">
            <v>El Caimito</v>
          </cell>
          <cell r="P113"/>
          <cell r="Q113"/>
        </row>
        <row r="114">
          <cell r="E114" t="str">
            <v>Independencia</v>
          </cell>
          <cell r="F114" t="str">
            <v>Mella</v>
          </cell>
          <cell r="I114" t="str">
            <v>Jánico</v>
          </cell>
          <cell r="J114" t="str">
            <v>Jánico</v>
          </cell>
          <cell r="P114"/>
          <cell r="Q114"/>
        </row>
        <row r="115">
          <cell r="E115" t="str">
            <v>Independencia</v>
          </cell>
          <cell r="F115" t="str">
            <v>Postrer Río</v>
          </cell>
          <cell r="I115" t="str">
            <v>Jánico</v>
          </cell>
          <cell r="J115" t="str">
            <v>Juncalito</v>
          </cell>
          <cell r="P115"/>
          <cell r="Q115"/>
        </row>
        <row r="116">
          <cell r="E116" t="str">
            <v>Independencia</v>
          </cell>
          <cell r="F116" t="str">
            <v>Cristóbal</v>
          </cell>
          <cell r="I116" t="str">
            <v>Licey al Medio</v>
          </cell>
          <cell r="J116" t="str">
            <v>Las Palomas</v>
          </cell>
          <cell r="P116"/>
          <cell r="Q116"/>
        </row>
        <row r="117">
          <cell r="E117" t="str">
            <v>San Juan</v>
          </cell>
          <cell r="F117" t="str">
            <v>San Juan de la Maguana</v>
          </cell>
          <cell r="I117" t="str">
            <v>Licey al Medio</v>
          </cell>
          <cell r="J117" t="str">
            <v>Licey al Medio</v>
          </cell>
          <cell r="P117"/>
          <cell r="Q117"/>
        </row>
        <row r="118">
          <cell r="E118" t="str">
            <v>San Juan</v>
          </cell>
          <cell r="F118" t="str">
            <v>Bohechio</v>
          </cell>
          <cell r="I118" t="str">
            <v>Puñal</v>
          </cell>
          <cell r="J118" t="str">
            <v>Canabacoa</v>
          </cell>
          <cell r="P118"/>
          <cell r="Q118"/>
        </row>
        <row r="119">
          <cell r="E119" t="str">
            <v>San Juan</v>
          </cell>
          <cell r="F119" t="str">
            <v>El Cercado</v>
          </cell>
          <cell r="I119" t="str">
            <v>Puñal</v>
          </cell>
          <cell r="J119" t="str">
            <v>Guayabal</v>
          </cell>
          <cell r="P119"/>
          <cell r="Q119"/>
        </row>
        <row r="120">
          <cell r="E120" t="str">
            <v>San Juan</v>
          </cell>
          <cell r="F120" t="str">
            <v>Juan de Herrera</v>
          </cell>
          <cell r="I120" t="str">
            <v>Puñal</v>
          </cell>
          <cell r="J120" t="str">
            <v>Puñal</v>
          </cell>
          <cell r="P120"/>
          <cell r="Q120"/>
        </row>
        <row r="121">
          <cell r="E121" t="str">
            <v>San Juan</v>
          </cell>
          <cell r="F121" t="str">
            <v>Las Matas de Farfán</v>
          </cell>
          <cell r="I121" t="str">
            <v>Sabana Iglesia</v>
          </cell>
          <cell r="J121" t="str">
            <v>Sabana Iglesia</v>
          </cell>
          <cell r="P121"/>
          <cell r="Q121"/>
        </row>
        <row r="122">
          <cell r="E122" t="str">
            <v>San Juan</v>
          </cell>
          <cell r="F122" t="str">
            <v>Vallejuelo</v>
          </cell>
          <cell r="I122" t="str">
            <v>San José de las Matas</v>
          </cell>
          <cell r="J122" t="str">
            <v>El Rubio</v>
          </cell>
          <cell r="P122"/>
          <cell r="Q122"/>
        </row>
        <row r="123">
          <cell r="E123" t="str">
            <v>Elías Piña</v>
          </cell>
          <cell r="F123" t="str">
            <v>Comendador</v>
          </cell>
          <cell r="I123" t="str">
            <v>San José de las Matas</v>
          </cell>
          <cell r="J123" t="str">
            <v>La Cuesta</v>
          </cell>
          <cell r="P123"/>
          <cell r="Q123"/>
        </row>
        <row r="124">
          <cell r="E124" t="str">
            <v>Elías Piña</v>
          </cell>
          <cell r="F124" t="str">
            <v>Bánica</v>
          </cell>
          <cell r="I124" t="str">
            <v>San José de las Matas</v>
          </cell>
          <cell r="J124" t="str">
            <v>Las Placetas</v>
          </cell>
          <cell r="P124"/>
          <cell r="Q124"/>
        </row>
        <row r="125">
          <cell r="E125" t="str">
            <v>Elías Piña</v>
          </cell>
          <cell r="F125" t="str">
            <v>El Llano</v>
          </cell>
          <cell r="I125" t="str">
            <v>San José de las Matas</v>
          </cell>
          <cell r="J125" t="str">
            <v>San José de las Matas</v>
          </cell>
          <cell r="P125"/>
          <cell r="Q125"/>
        </row>
        <row r="126">
          <cell r="E126" t="str">
            <v>Elías Piña</v>
          </cell>
          <cell r="F126" t="str">
            <v>Hondo Valle</v>
          </cell>
          <cell r="I126" t="str">
            <v>Santiago de los Caballeros</v>
          </cell>
          <cell r="J126" t="str">
            <v>Baitoa</v>
          </cell>
          <cell r="P126"/>
          <cell r="Q126"/>
        </row>
        <row r="127">
          <cell r="E127" t="str">
            <v>Elías Piña</v>
          </cell>
          <cell r="F127" t="str">
            <v>Pedro Santana</v>
          </cell>
          <cell r="I127" t="str">
            <v>Santiago de los Caballeros</v>
          </cell>
          <cell r="J127" t="str">
            <v>Hato del Yaque</v>
          </cell>
          <cell r="P127"/>
          <cell r="Q127"/>
        </row>
        <row r="128">
          <cell r="E128" t="str">
            <v>Elías Piña</v>
          </cell>
          <cell r="F128" t="str">
            <v>Juan Santiago</v>
          </cell>
          <cell r="I128" t="str">
            <v>Santiago de los Caballeros</v>
          </cell>
          <cell r="J128" t="str">
            <v>La Canela</v>
          </cell>
          <cell r="P128"/>
          <cell r="Q128"/>
        </row>
        <row r="129">
          <cell r="E129" t="str">
            <v>La Romana</v>
          </cell>
          <cell r="F129" t="str">
            <v>La Romana</v>
          </cell>
          <cell r="I129" t="str">
            <v>Santiago de los Caballeros</v>
          </cell>
          <cell r="J129" t="str">
            <v>Pedro García</v>
          </cell>
          <cell r="P129"/>
          <cell r="Q129"/>
        </row>
        <row r="130">
          <cell r="E130" t="str">
            <v>La Romana</v>
          </cell>
          <cell r="F130" t="str">
            <v>Guaymate</v>
          </cell>
          <cell r="I130" t="str">
            <v>Santiago de los Caballeros</v>
          </cell>
          <cell r="J130" t="str">
            <v>San Francisco de Jacagua</v>
          </cell>
          <cell r="P130"/>
          <cell r="Q130"/>
        </row>
        <row r="131">
          <cell r="E131" t="str">
            <v>La Romana</v>
          </cell>
          <cell r="F131" t="str">
            <v>Villa Hermosa</v>
          </cell>
          <cell r="I131" t="str">
            <v>Santiago de los Caballeros</v>
          </cell>
          <cell r="J131" t="str">
            <v>Santiago de los Caballeros</v>
          </cell>
          <cell r="P131"/>
          <cell r="Q131"/>
        </row>
        <row r="132">
          <cell r="E132" t="str">
            <v>La Altagracia</v>
          </cell>
          <cell r="F132" t="str">
            <v>Salvaléon de Higüey</v>
          </cell>
          <cell r="I132" t="str">
            <v>Tamboril</v>
          </cell>
          <cell r="J132" t="str">
            <v>Canca la Piedra</v>
          </cell>
          <cell r="P132"/>
          <cell r="Q132"/>
        </row>
        <row r="133">
          <cell r="E133" t="str">
            <v>La Altagracia</v>
          </cell>
          <cell r="F133" t="str">
            <v>San Rafael del Yuma</v>
          </cell>
          <cell r="I133" t="str">
            <v>Tamboril</v>
          </cell>
          <cell r="J133" t="str">
            <v>Tamboril</v>
          </cell>
          <cell r="P133"/>
          <cell r="Q133"/>
        </row>
        <row r="134">
          <cell r="E134" t="str">
            <v>El Seibo</v>
          </cell>
          <cell r="F134" t="str">
            <v>Santa Cruz del Seibo</v>
          </cell>
          <cell r="I134" t="str">
            <v>Villa Bisonó (Navarrete)</v>
          </cell>
          <cell r="J134" t="str">
            <v>Villa Bisonó (Navarrete)</v>
          </cell>
          <cell r="P134"/>
          <cell r="Q134"/>
        </row>
        <row r="135">
          <cell r="E135" t="str">
            <v>El Seibo</v>
          </cell>
          <cell r="F135" t="str">
            <v>Miches</v>
          </cell>
          <cell r="I135" t="str">
            <v>Villa González</v>
          </cell>
          <cell r="J135" t="str">
            <v>El Limón</v>
          </cell>
          <cell r="P135"/>
          <cell r="Q135"/>
        </row>
        <row r="136">
          <cell r="E136" t="str">
            <v>San Pedro de Macorís</v>
          </cell>
          <cell r="F136" t="str">
            <v>San Pedro de Macorís</v>
          </cell>
          <cell r="I136" t="str">
            <v>Villa González</v>
          </cell>
          <cell r="J136" t="str">
            <v>Palmar Arriba</v>
          </cell>
          <cell r="P136"/>
          <cell r="Q136"/>
        </row>
        <row r="137">
          <cell r="E137" t="str">
            <v>San Pedro de Macorís</v>
          </cell>
          <cell r="F137" t="str">
            <v>San José de los Llanos</v>
          </cell>
          <cell r="I137" t="str">
            <v>Villa González</v>
          </cell>
          <cell r="J137" t="str">
            <v>Villa González</v>
          </cell>
          <cell r="P137"/>
          <cell r="Q137"/>
        </row>
        <row r="138">
          <cell r="E138" t="str">
            <v>San Pedro de Macorís</v>
          </cell>
          <cell r="F138" t="str">
            <v>Ramón Santana</v>
          </cell>
          <cell r="I138" t="str">
            <v>Constanza</v>
          </cell>
          <cell r="J138" t="str">
            <v>Constanza</v>
          </cell>
          <cell r="P138"/>
          <cell r="Q138"/>
        </row>
        <row r="139">
          <cell r="E139" t="str">
            <v>San Pedro de Macorís</v>
          </cell>
          <cell r="F139" t="str">
            <v>Consuelo</v>
          </cell>
          <cell r="I139" t="str">
            <v>Constanza</v>
          </cell>
          <cell r="J139" t="str">
            <v>La Sabina</v>
          </cell>
          <cell r="P139"/>
          <cell r="Q139"/>
        </row>
        <row r="140">
          <cell r="E140" t="str">
            <v>San Pedro de Macorís</v>
          </cell>
          <cell r="F140" t="str">
            <v>Quisqueya</v>
          </cell>
          <cell r="I140" t="str">
            <v>Constanza</v>
          </cell>
          <cell r="J140" t="str">
            <v>Tireo Arriba</v>
          </cell>
          <cell r="P140"/>
          <cell r="Q140"/>
        </row>
        <row r="141">
          <cell r="E141" t="str">
            <v>San Pedro de Macorís</v>
          </cell>
          <cell r="F141" t="str">
            <v>Guayacanes</v>
          </cell>
          <cell r="I141" t="str">
            <v>Jarabacoa</v>
          </cell>
          <cell r="J141" t="str">
            <v>Buena Vista</v>
          </cell>
          <cell r="P141"/>
          <cell r="Q141"/>
        </row>
        <row r="142">
          <cell r="E142" t="str">
            <v>Hato Mayor</v>
          </cell>
          <cell r="F142" t="str">
            <v>Hato Mayor del Rey</v>
          </cell>
          <cell r="I142" t="str">
            <v>Jarabacoa</v>
          </cell>
          <cell r="J142" t="str">
            <v>Jarabacoa</v>
          </cell>
          <cell r="P142"/>
          <cell r="Q142"/>
        </row>
        <row r="143">
          <cell r="E143" t="str">
            <v>Hato Mayor</v>
          </cell>
          <cell r="F143" t="str">
            <v>Sabana de la Mar</v>
          </cell>
          <cell r="I143" t="str">
            <v>Jarabacoa</v>
          </cell>
          <cell r="J143" t="str">
            <v>Manabao</v>
          </cell>
          <cell r="P143"/>
          <cell r="Q143"/>
        </row>
        <row r="144">
          <cell r="E144" t="str">
            <v>Hato Mayor</v>
          </cell>
          <cell r="F144" t="str">
            <v>El Valle</v>
          </cell>
          <cell r="I144" t="str">
            <v>Jima Abajo</v>
          </cell>
          <cell r="J144" t="str">
            <v>Jima Abajo</v>
          </cell>
          <cell r="P144"/>
          <cell r="Q144"/>
        </row>
        <row r="145">
          <cell r="E145" t="str">
            <v>Monte Plata</v>
          </cell>
          <cell r="F145" t="str">
            <v>Monte Plata</v>
          </cell>
          <cell r="I145" t="str">
            <v>Jima Abajo</v>
          </cell>
          <cell r="J145" t="str">
            <v>Rincón</v>
          </cell>
          <cell r="P145"/>
          <cell r="Q145"/>
        </row>
        <row r="146">
          <cell r="E146" t="str">
            <v>Monte Plata</v>
          </cell>
          <cell r="F146" t="str">
            <v>Bayaguana</v>
          </cell>
          <cell r="I146" t="str">
            <v>La Vega</v>
          </cell>
          <cell r="J146" t="str">
            <v>El Ranchito</v>
          </cell>
          <cell r="P146"/>
          <cell r="Q146"/>
        </row>
        <row r="147">
          <cell r="E147" t="str">
            <v>Monte Plata</v>
          </cell>
          <cell r="F147" t="str">
            <v>Sabana Grande de Boyá</v>
          </cell>
          <cell r="I147" t="str">
            <v>La Vega</v>
          </cell>
          <cell r="J147" t="str">
            <v>La Vega</v>
          </cell>
          <cell r="P147"/>
          <cell r="Q147"/>
        </row>
        <row r="148">
          <cell r="E148" t="str">
            <v>Monte Plata</v>
          </cell>
          <cell r="F148" t="str">
            <v>Yamasá</v>
          </cell>
          <cell r="I148" t="str">
            <v>La Vega</v>
          </cell>
          <cell r="J148" t="str">
            <v>Río Verde Arriba</v>
          </cell>
          <cell r="P148"/>
          <cell r="Q148"/>
        </row>
        <row r="149">
          <cell r="E149" t="str">
            <v>Monte Plata</v>
          </cell>
          <cell r="F149" t="str">
            <v>Peralvillo</v>
          </cell>
          <cell r="I149" t="str">
            <v>Bonao</v>
          </cell>
          <cell r="J149" t="str">
            <v>Arroyo Toro Masipedro</v>
          </cell>
          <cell r="P149"/>
          <cell r="Q149"/>
        </row>
        <row r="150">
          <cell r="E150" t="str">
            <v>Distrito Nacional</v>
          </cell>
          <cell r="F150" t="str">
            <v>Distrito Nacional</v>
          </cell>
          <cell r="I150" t="str">
            <v>Bonao</v>
          </cell>
          <cell r="J150" t="str">
            <v>Bonao</v>
          </cell>
          <cell r="P150"/>
          <cell r="Q150"/>
        </row>
        <row r="151">
          <cell r="E151" t="str">
            <v>Santo Domingo</v>
          </cell>
          <cell r="F151" t="str">
            <v>Santo Domingo Este</v>
          </cell>
          <cell r="I151" t="str">
            <v>Bonao</v>
          </cell>
          <cell r="J151" t="str">
            <v>Jayaco</v>
          </cell>
          <cell r="P151"/>
          <cell r="Q151"/>
        </row>
        <row r="152">
          <cell r="E152" t="str">
            <v>Santo Domingo</v>
          </cell>
          <cell r="F152" t="str">
            <v>Santo Domingo Oeste</v>
          </cell>
          <cell r="I152" t="str">
            <v>Bonao</v>
          </cell>
          <cell r="J152" t="str">
            <v>Juma Bejucal</v>
          </cell>
          <cell r="P152"/>
          <cell r="Q152"/>
        </row>
        <row r="153">
          <cell r="E153" t="str">
            <v>Santo Domingo</v>
          </cell>
          <cell r="F153" t="str">
            <v>Santo Domingo Norte</v>
          </cell>
          <cell r="I153" t="str">
            <v>Bonao</v>
          </cell>
          <cell r="J153" t="str">
            <v>La Salvia- Los Quemados</v>
          </cell>
          <cell r="P153"/>
          <cell r="Q153"/>
        </row>
        <row r="154">
          <cell r="E154" t="str">
            <v>Santo Domingo</v>
          </cell>
          <cell r="F154" t="str">
            <v>Boca Chica</v>
          </cell>
          <cell r="I154" t="str">
            <v>Bonao</v>
          </cell>
          <cell r="J154" t="str">
            <v>Sabana del Puerto</v>
          </cell>
          <cell r="P154"/>
          <cell r="Q154"/>
        </row>
        <row r="155">
          <cell r="E155" t="str">
            <v>Santo Domingo</v>
          </cell>
          <cell r="F155" t="str">
            <v>Guerra</v>
          </cell>
          <cell r="I155" t="str">
            <v>Maimón</v>
          </cell>
          <cell r="J155" t="str">
            <v>Maimón</v>
          </cell>
          <cell r="P155"/>
          <cell r="Q155"/>
        </row>
        <row r="156">
          <cell r="E156" t="str">
            <v>Santo Domingo</v>
          </cell>
          <cell r="F156" t="str">
            <v>Los Alcarrizos</v>
          </cell>
          <cell r="I156" t="str">
            <v>Piedra Blanca</v>
          </cell>
          <cell r="J156" t="str">
            <v>Juan Adrián</v>
          </cell>
          <cell r="P156"/>
          <cell r="Q156"/>
        </row>
        <row r="157">
          <cell r="E157" t="str">
            <v>Santo Domingo</v>
          </cell>
          <cell r="F157" t="str">
            <v>Pedro Brand</v>
          </cell>
          <cell r="I157" t="str">
            <v>Piedra Blanca</v>
          </cell>
          <cell r="J157" t="str">
            <v>Piedra Blanca</v>
          </cell>
          <cell r="P157"/>
          <cell r="Q157"/>
        </row>
        <row r="158">
          <cell r="I158" t="str">
            <v>Piedra Blanca</v>
          </cell>
          <cell r="J158" t="str">
            <v>Villa de Sonador</v>
          </cell>
          <cell r="P158"/>
          <cell r="Q158"/>
        </row>
        <row r="159">
          <cell r="I159" t="str">
            <v>Cevicos</v>
          </cell>
          <cell r="J159" t="str">
            <v>Cevicos</v>
          </cell>
          <cell r="P159"/>
          <cell r="Q159"/>
        </row>
        <row r="160">
          <cell r="I160" t="str">
            <v>Cevicos</v>
          </cell>
          <cell r="J160" t="str">
            <v>La Cueva</v>
          </cell>
          <cell r="P160"/>
          <cell r="Q160"/>
        </row>
        <row r="161">
          <cell r="I161" t="str">
            <v>Cotuí</v>
          </cell>
          <cell r="J161" t="str">
            <v>Caballero</v>
          </cell>
          <cell r="P161"/>
          <cell r="Q161"/>
        </row>
        <row r="162">
          <cell r="I162" t="str">
            <v>Cotuí</v>
          </cell>
          <cell r="J162" t="str">
            <v>Comedero Arriba</v>
          </cell>
          <cell r="P162"/>
          <cell r="Q162"/>
        </row>
        <row r="163">
          <cell r="I163" t="str">
            <v>Cotuí</v>
          </cell>
          <cell r="J163" t="str">
            <v>Cotuí</v>
          </cell>
          <cell r="P163"/>
          <cell r="Q163"/>
        </row>
        <row r="164">
          <cell r="I164" t="str">
            <v>Cotuí</v>
          </cell>
          <cell r="J164" t="str">
            <v>Platanal</v>
          </cell>
          <cell r="P164"/>
          <cell r="Q164"/>
        </row>
        <row r="165">
          <cell r="I165" t="str">
            <v>Cotuí</v>
          </cell>
          <cell r="J165" t="str">
            <v>Quita Sueño</v>
          </cell>
          <cell r="P165"/>
          <cell r="Q165"/>
        </row>
        <row r="166">
          <cell r="I166" t="str">
            <v>Fantino</v>
          </cell>
          <cell r="J166" t="str">
            <v>Fantino</v>
          </cell>
          <cell r="P166"/>
          <cell r="Q166"/>
        </row>
        <row r="167">
          <cell r="I167" t="str">
            <v>La Mata</v>
          </cell>
          <cell r="J167" t="str">
            <v>Angelina</v>
          </cell>
          <cell r="P167"/>
          <cell r="Q167"/>
        </row>
        <row r="168">
          <cell r="I168" t="str">
            <v>La Mata</v>
          </cell>
          <cell r="J168" t="str">
            <v>Hernando Alonso</v>
          </cell>
          <cell r="P168"/>
          <cell r="Q168"/>
        </row>
        <row r="169">
          <cell r="I169" t="str">
            <v>La Mata</v>
          </cell>
          <cell r="J169" t="str">
            <v>La Bija</v>
          </cell>
          <cell r="P169"/>
          <cell r="Q169"/>
        </row>
        <row r="170">
          <cell r="I170" t="str">
            <v>La Mata</v>
          </cell>
          <cell r="J170" t="str">
            <v>La Mata</v>
          </cell>
          <cell r="P170"/>
          <cell r="Q170"/>
        </row>
        <row r="171">
          <cell r="I171" t="str">
            <v>Bánica</v>
          </cell>
          <cell r="J171" t="str">
            <v>Bánica</v>
          </cell>
          <cell r="P171"/>
          <cell r="Q171"/>
        </row>
        <row r="172">
          <cell r="I172" t="str">
            <v>Bánica</v>
          </cell>
          <cell r="J172" t="str">
            <v>Sabana Cruz</v>
          </cell>
          <cell r="P172"/>
          <cell r="Q172"/>
        </row>
        <row r="173">
          <cell r="I173" t="str">
            <v>Bánica</v>
          </cell>
          <cell r="J173" t="str">
            <v>Sabana Higüero</v>
          </cell>
          <cell r="P173"/>
          <cell r="Q173"/>
        </row>
        <row r="174">
          <cell r="I174" t="str">
            <v>Comendador</v>
          </cell>
          <cell r="J174" t="str">
            <v>Comendador</v>
          </cell>
          <cell r="P174"/>
          <cell r="Q174"/>
        </row>
        <row r="175">
          <cell r="I175" t="str">
            <v>Comendador</v>
          </cell>
          <cell r="J175" t="str">
            <v>Guayabo</v>
          </cell>
          <cell r="P175"/>
          <cell r="Q175"/>
        </row>
        <row r="176">
          <cell r="I176" t="str">
            <v>Comendador</v>
          </cell>
          <cell r="J176" t="str">
            <v>Sabana Larga</v>
          </cell>
          <cell r="P176"/>
          <cell r="Q176"/>
        </row>
        <row r="177">
          <cell r="I177" t="str">
            <v>El Llano</v>
          </cell>
          <cell r="J177" t="str">
            <v>El Llano</v>
          </cell>
          <cell r="P177"/>
          <cell r="Q177"/>
        </row>
        <row r="178">
          <cell r="I178" t="str">
            <v>El Llano</v>
          </cell>
          <cell r="J178" t="str">
            <v>Guanito</v>
          </cell>
          <cell r="P178"/>
          <cell r="Q178"/>
        </row>
        <row r="179">
          <cell r="I179" t="str">
            <v>Hondo Valle</v>
          </cell>
          <cell r="J179" t="str">
            <v>Hondo Valle</v>
          </cell>
          <cell r="P179"/>
          <cell r="Q179"/>
        </row>
        <row r="180">
          <cell r="I180" t="str">
            <v>Hondo Valle</v>
          </cell>
          <cell r="J180" t="str">
            <v>Rancho de la Guardia</v>
          </cell>
          <cell r="P180"/>
          <cell r="Q180"/>
        </row>
        <row r="181">
          <cell r="I181" t="str">
            <v>Juan Santiago</v>
          </cell>
          <cell r="J181" t="str">
            <v>Juan Santiago</v>
          </cell>
          <cell r="P181"/>
          <cell r="Q181"/>
        </row>
        <row r="182">
          <cell r="I182" t="str">
            <v>Pedro Santana</v>
          </cell>
          <cell r="J182" t="str">
            <v>Pedro Santana</v>
          </cell>
          <cell r="P182"/>
          <cell r="Q182"/>
        </row>
        <row r="183">
          <cell r="I183" t="str">
            <v>Pedro Santana</v>
          </cell>
          <cell r="J183" t="str">
            <v>Río Limpio</v>
          </cell>
          <cell r="P183"/>
          <cell r="Q183"/>
        </row>
        <row r="184">
          <cell r="I184" t="str">
            <v>Bohechio</v>
          </cell>
          <cell r="J184" t="str">
            <v>Arroyo Cano</v>
          </cell>
          <cell r="P184"/>
          <cell r="Q184"/>
        </row>
        <row r="185">
          <cell r="I185" t="str">
            <v>Bohechio</v>
          </cell>
          <cell r="J185" t="str">
            <v>Bohechio</v>
          </cell>
          <cell r="P185"/>
          <cell r="Q185"/>
        </row>
        <row r="186">
          <cell r="I186" t="str">
            <v>Bohechio</v>
          </cell>
          <cell r="J186" t="str">
            <v>El Yaque</v>
          </cell>
          <cell r="P186"/>
          <cell r="Q186"/>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id="93" name="Table27" displayName="Table27" ref="A320:F368"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94" name="Table28" displayName="Table28" ref="A378:F380" totalsRowShown="0">
  <tableColumns count="6">
    <tableColumn id="1" name="CÓDIGO CATÁLOGO"/>
    <tableColumn id="2" name="ARTÍCULO">
      <calculatedColumnFormula>IFERROR(INDEX(UNSPSCDes,MATCH(INDIRECT(ADDRESS(ROW(),COLUMN()-1,4)),UNSPSCCode,0)),IF(INDIRECT(ADDRESS(ROW(),COLUMN()-1,4))="55101510","Libros para entretenimiento",""))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95" name="Table32" displayName="Table32" ref="A437:F452" totalsRowShown="0">
  <tableColumns count="6">
    <tableColumn id="1" name="CÓDIGO CATÁLOGO"/>
    <tableColumn id="2" name="ARTÍCULO">
      <calculatedColumnFormula>IFERROR(INDEX(UNSPSCDes,MATCH(INDIRECT(ADDRESS(ROW(),COLUMN()-1,4)),UNSPSCCode,0)),IF(INDIRECT(ADDRESS(ROW(),COLUMN()-1,4))="44103103","Tóner para impresoras o fax",""))</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96" name="Table21" displayName="Table21" ref="A240:F241" totalsRowShown="0">
  <tableColumns count="6">
    <tableColumn id="1" name="CÓDIGO CATÁLOGO"/>
    <tableColumn id="2" name="ARTÍCULO">
      <calculatedColumnFormula>IFERROR(INDEX(UNSPSCDes,MATCH(INDIRECT(ADDRESS(ROW(),COLUMN()-1,4)),UNSPSCCode,0)),IF(INDIRECT(ADDRESS(ROW(),COLUMN()-1,4))="72101517","Servicio de mantenimiento o reparación de generadores portátiles",""))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97" name="Table38" displayName="Table38" ref="A567:F57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98" name="Table26" displayName="Table26" ref="A301:F310"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99" name="Table6" displayName="Table6" ref="A56:F57" totalsRowShown="0">
  <tableColumns count="6">
    <tableColumn id="1" name="CÓDIGO CATÁLOGO"/>
    <tableColumn id="2" name="ARTÍCULO">
      <calculatedColumnFormula>IFERROR(INDEX(UNSPSCDes,MATCH(INDIRECT(ADDRESS(ROW(),COLUMN()-1,4)),UNSPSCCode,0)),IF(INDIRECT(ADDRESS(ROW(),COLUMN()-1,4))="72102103","Servicios de exterminación o fumigación",""))</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100" name="Table7" displayName="Table7" ref="A67:F68" totalsRowShown="0">
  <tableColumns count="6">
    <tableColumn id="1" name="CÓDIGO CATÁLOGO"/>
    <tableColumn id="2" name="ARTÍCULO">
      <calculatedColumnFormula>IFERROR(INDEX(UNSPSCDes,MATCH(INDIRECT(ADDRESS(ROW(),COLUMN()-1,4)),UNSPSCCode,0)),IF(INDIRECT(ADDRESS(ROW(),COLUMN()-1,4))="45121504","Cámaras digitales",""))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1" name="Table31" displayName="Table31" ref="A424:F42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02" name="Table18" displayName="Table18" ref="A207:F208" totalsRowShown="0">
  <tableColumns count="6">
    <tableColumn id="1" name="CÓDIGO CATÁLOGO"/>
    <tableColumn id="2" name="ARTÍCULO">
      <calculatedColumnFormula>IFERROR(INDEX(UNSPSCDes,MATCH(INDIRECT(ADDRESS(ROW(),COLUMN()-1,4)),UNSPSCCode,0)),IF(INDIRECT(ADDRESS(ROW(),COLUMN()-1,4))="82101508","Publicidad en páginas amarillas o en directorios comerciales o de servicios",""))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03" name="Table17" displayName="Table17" ref="A196:F197" totalsRowShown="0">
  <tableColumns count="6">
    <tableColumn id="1" name="CÓDIGO CATÁLOGO"/>
    <tableColumn id="2" name="ARTÍCULO">
      <calculatedColumnFormula>IFERROR(INDEX(UNSPSCDes,MATCH(INDIRECT(ADDRESS(ROW(),COLUMN()-1,4)),UNSPSCCode,0)),IF(INDIRECT(ADDRESS(ROW(),COLUMN()-1,4))="78180101","Servicios de reparar o pintar la carrocería de vehículos",""))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04" name="Table49" displayName="Table49" ref="A725:F726" totalsRowShown="0">
  <tableColumns count="6">
    <tableColumn id="1" name="CÓDIGO CATÁLOGO"/>
    <tableColumn id="2" name="ARTÍCULO">
      <calculatedColumnFormula>IFERROR(INDEX(UNSPSCDes,MATCH(INDIRECT(ADDRESS(ROW(),COLUMN()-1,4)),UNSPSCCode,0)),IF(INDIRECT(ADDRESS(ROW(),COLUMN()-1,4))="44101501","Fotocopiadoras",""))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05" name="Table13" displayName="Table13" ref="A148:F149"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06" name="Table33" displayName="Table33" ref="A462:F48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07" name="Table34" displayName="Table34" ref="A495:F509"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08" name="Table40" displayName="Table40" ref="A595:F60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09" name="Table16" displayName="Table16" ref="A185:F186" totalsRowShown="0">
  <tableColumns count="6">
    <tableColumn id="1" name="CÓDIGO CATÁLOGO"/>
    <tableColumn id="2" name="ARTÍCULO">
      <calculatedColumnFormula>IFERROR(INDEX(UNSPSCDes,MATCH(INDIRECT(ADDRESS(ROW(),COLUMN()-1,4)),UNSPSCCode,0)),IF(INDIRECT(ADDRESS(ROW(),COLUMN()-1,4))="81111805","Mantenimiento o soporte de sistemas patentados o autorizados",""))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10" name="Table46" displayName="Table46" ref="A674:F675" totalsRowShown="0">
  <tableColumns count="6">
    <tableColumn id="1" name="CÓDIGO CATÁLOGO"/>
    <tableColumn id="2" name="ARTÍCULO">
      <calculatedColumnFormula>IFERROR(INDEX(UNSPSCDes,MATCH(INDIRECT(ADDRESS(ROW(),COLUMN()-1,4)),UNSPSCCode,0)),IF(INDIRECT(ADDRESS(ROW(),COLUMN()-1,4))="41112213","Termómetros de mano",""))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111" name="Table20" displayName="Table20" ref="A229:F230" totalsRowShown="0">
  <tableColumns count="6">
    <tableColumn id="1" name="CÓDIGO CATÁLOGO"/>
    <tableColumn id="2" name="ARTÍCULO">
      <calculatedColumnFormula>IFERROR(INDEX(UNSPSCDes,MATCH(INDIRECT(ADDRESS(ROW(),COLUMN()-1,4)),UNSPSCCode,0)),IF(INDIRECT(ADDRESS(ROW(),COLUMN()-1,4))="82121511","Impresión de hoja de instrucciones o manual técnico",""))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112" name="Table37" displayName="Table37" ref="A555:F557" totalsRowShown="0">
  <tableColumns count="6">
    <tableColumn id="1" name="CÓDIGO CATÁLOGO"/>
    <tableColumn id="2" name="ARTÍCULO">
      <calculatedColumnFormula>IFERROR(INDEX(UNSPSCDes,MATCH(INDIRECT(ADDRESS(ROW(),COLUMN()-1,4)),UNSPSCCode,0)),IF(INDIRECT(ADDRESS(ROW(),COLUMN()-1,4))="50202301","Agua",""))</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113" name="Table15" displayName="Table15" ref="A170:F175" totalsRowShown="0">
  <tableColumns count="6">
    <tableColumn id="1" name="CÓDIGO CATÁLOGO"/>
    <tableColumn id="2" name="ARTÍCULO">
      <calculatedColumnFormula>IFERROR(INDEX(UNSPSCDes,MATCH(INDIRECT(ADDRESS(ROW(),COLUMN()-1,4)),UNSPSCCode,0)),IF(INDIRECT(ADDRESS(ROW(),COLUMN()-1,4))="72101507","Servicio de mantenimiento de edificios",""))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114" name="Table5" displayName="Table5" ref="A42:F4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115" name="Table43" displayName="Table43" ref="A636:F641"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116" name="Table14" displayName="Table14" ref="A159:F160" totalsRowShown="0">
  <tableColumns count="6">
    <tableColumn id="1" name="CÓDIGO CATÁLOGO"/>
    <tableColumn id="2" name="ARTÍCULO">
      <calculatedColumnFormula>IFERROR(INDEX(UNSPSCDes,MATCH(INDIRECT(ADDRESS(ROW(),COLUMN()-1,4)),UNSPSCCode,0)),IF(INDIRECT(ADDRESS(ROW(),COLUMN()-1,4))="80141902","Reuniones y eventos",""))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117" name="Table9" displayName="Table9" ref="A89:F105" totalsRowShown="0">
  <tableColumns count="6">
    <tableColumn id="1" name="CÓDIGO CATÁLOGO"/>
    <tableColumn id="2" name="ARTÍCULO">
      <calculatedColumnFormula>IFERROR(INDEX(UNSPSCDes,MATCH(INDIRECT(ADDRESS(ROW(),COLUMN()-1,4)),UNSPSCCode,0)),IF(INDIRECT(ADDRESS(ROW(),COLUMN()-1,4))="53102710","Uniformes corporativos",""))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118" name="Table42" displayName="Table42" ref="A624:F626"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119" name="Table11" displayName="Table11" ref="A126:F127" totalsRowShown="0">
  <tableColumns count="6">
    <tableColumn id="1" name="CÓDIGO CATÁLOGO"/>
    <tableColumn id="2" name="ARTÍCULO">
      <calculatedColumnFormula>IFERROR(INDEX(UNSPSCDes,MATCH(INDIRECT(ADDRESS(ROW(),COLUMN()-1,4)),UNSPSCCode,0)),IF(INDIRECT(ADDRESS(ROW(),COLUMN()-1,4))="15101505","Combustible diesel",""))</calculatedColumnFormula>
    </tableColumn>
    <tableColumn id="3" name="UNIDAD DE MEDIDA">
      <calculatedColumnFormula>IFERROR(VLOOKUP("GAL",'[1]Informacion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120" name="Table8" displayName="Table8" ref="A78:F79" totalsRowShown="0">
  <tableColumns count="6">
    <tableColumn id="1" name="CÓDIGO CATÁLOGO"/>
    <tableColumn id="2" name="ARTÍCULO">
      <calculatedColumnFormula>IFERROR(INDEX(UNSPSCDes,MATCH(INDIRECT(ADDRESS(ROW(),COLUMN()-1,4)),UNSPSCCode,0)),IF(INDIRECT(ADDRESS(ROW(),COLUMN()-1,4))="52141501","Neveras para uso doméstico",""))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121" name="Table12" displayName="Table12" ref="A137:F138" totalsRowShown="0">
  <tableColumns count="6">
    <tableColumn id="1" name="CÓDIGO CATÁLOGO"/>
    <tableColumn id="2" name="ARTÍCULO">
      <calculatedColumnFormula>IFERROR(INDEX(UNSPSCDes,MATCH(INDIRECT(ADDRESS(ROW(),COLUMN()-1,4)),UNSPSCCode,0)),IF(INDIRECT(ADDRESS(ROW(),COLUMN()-1,4))="14111608","Certificados de regalo",""))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122" name="Table47" displayName="Table47" ref="A685:F690"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123" name="Table4" displayName="Table4" ref="A22:F32"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124" name="Table10" displayName="Table10" ref="A115:F116" totalsRowShown="0">
  <tableColumns count="6">
    <tableColumn id="1" name="CÓDIGO CATÁLOGO"/>
    <tableColumn id="2" name="ARTÍCULO">
      <calculatedColumnFormula>IFERROR(INDEX(UNSPSCDes,MATCH(INDIRECT(ADDRESS(ROW(),COLUMN()-1,4)),UNSPSCCode,0)),IF(INDIRECT(ADDRESS(ROW(),COLUMN()-1,4))="90101802","Servicios de comidas a domicilio",""))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125" name="Table41" displayName="Table41" ref="A611:F614"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126" name="Table23" displayName="Table23" ref="A263:F267"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127" name="Table29" displayName="Table29" ref="A390:F392" totalsRowShown="0">
  <tableColumns count="6">
    <tableColumn id="1" name="CÓDIGO CATÁLOGO"/>
    <tableColumn id="2" name="ARTÍCULO">
      <calculatedColumnFormula>IFERROR(INDEX(UNSPSCDes,MATCH(INDIRECT(ADDRESS(ROW(),COLUMN()-1,4)),UNSPSCCode,0)),IF(INDIRECT(ADDRESS(ROW(),COLUMN()-1,4))="55101502","Directorios",""))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128" name="Table30" displayName="Table30" ref="A402:F414"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129" name="Table45" displayName="Table45" ref="A663:F664" totalsRowShown="0">
  <tableColumns count="6">
    <tableColumn id="1" name="CÓDIGO CATÁLOGO"/>
    <tableColumn id="2" name="ARTÍCULO">
      <calculatedColumnFormula>IFERROR(INDEX(UNSPSCDes,MATCH(INDIRECT(ADDRESS(ROW(),COLUMN()-1,4)),UNSPSCCode,0)),IF(INDIRECT(ADDRESS(ROW(),COLUMN()-1,4))="25172603","Parachoques para automotores",""))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130" name="Table24" displayName="Table24" ref="A277:F279" totalsRowShown="0">
  <tableColumns count="6">
    <tableColumn id="1" name="CÓDIGO CATÁLOGO"/>
    <tableColumn id="2" name="ARTÍCULO">
      <calculatedColumnFormula>IFERROR(INDEX(UNSPSCDes,MATCH(INDIRECT(ADDRESS(ROW(),COLUMN()-1,4)),UNSPSCCode,0)),IF(INDIRECT(ADDRESS(ROW(),COLUMN()-1,4))="43231512","Software de manejo de licencias",""))</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131" name="Table35" displayName="Table35" ref="A519:F527"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132" name="Table36" displayName="Table36" ref="A537:F54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133" name="Table48" displayName="Table48" ref="A700:F715"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134" name="Table19" displayName="Table19" ref="A218:F219" totalsRowShown="0">
  <tableColumns count="6">
    <tableColumn id="1" name="CÓDIGO CATÁLOGO"/>
    <tableColumn id="2" name="ARTÍCULO">
      <calculatedColumnFormula>IFERROR(INDEX(UNSPSCDes,MATCH(INDIRECT(ADDRESS(ROW(),COLUMN()-1,4)),UNSPSCCode,0)),IF(INDIRECT(ADDRESS(ROW(),COLUMN()-1,4))="82121511","Impresión de hoja de instrucciones o manual técnico",""))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135" name="Table44" displayName="Table44" ref="A651:F653" totalsRowShown="0">
  <tableColumns count="6">
    <tableColumn id="1" name="CÓDIGO CATÁLOGO"/>
    <tableColumn id="2" name="ARTÍCULO">
      <calculatedColumnFormula>IFERROR(INDEX(UNSPSCDes,MATCH(INDIRECT(ADDRESS(ROW(),COLUMN()-1,4)),UNSPSCCode,0)),IF(INDIRECT(ADDRESS(ROW(),COLUMN()-1,4))="90101802","Servicios de comidas a domicilio",""))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136" name="Table22" displayName="Table22" ref="A251:F253" totalsRowShown="0">
  <tableColumns count="6">
    <tableColumn id="1" name="CÓDIGO CATÁLOGO"/>
    <tableColumn id="2" name="ARTÍCULO"/>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137" name="Table39" displayName="Table39" ref="A581:F585" totalsRowShown="0">
  <tableColumns count="6">
    <tableColumn id="1" name="CÓDIGO CATÁLOGO"/>
    <tableColumn id="2" name="ARTÍCULO"/>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138" name="Table25" displayName="Table25" ref="A289:F291" totalsRowShown="0">
  <tableColumns count="6">
    <tableColumn id="1" name="CÓDIGO CATÁLOGO"/>
    <tableColumn id="2" name="ARTÍCULO">
      <calculatedColumnFormula>IFERROR(INDEX(UNSPSCDes,MATCH(INDIRECT(ADDRESS(ROW(),COLUMN()-1,4)),UNSPSCCode,0)),IF(INDIRECT(ADDRESS(ROW(),COLUMN()-1,4))="45121805","Componentes o accesorios de cámara de micro filmado",""))</calculatedColumnFormula>
    </tableColumn>
    <tableColumn id="3" name="UNIDAD DE MEDIDA">
      <calculatedColumnFormula>IFERROR(VLOOKUP("UD",'[1]Informacion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7" Type="http://schemas.openxmlformats.org/officeDocument/2006/relationships/table" Target="../tables/table5.xml"/><Relationship Id="rId2" Type="http://schemas.openxmlformats.org/officeDocument/2006/relationships/vmlDrawing" Target="../drawings/vmlDrawing1.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comments" Target="../comments1.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0" Type="http://schemas.openxmlformats.org/officeDocument/2006/relationships/table" Target="../tables/table18.xml"/><Relationship Id="rId41" Type="http://schemas.openxmlformats.org/officeDocument/2006/relationships/table" Target="../tables/table39.xml"/><Relationship Id="rId1" Type="http://schemas.openxmlformats.org/officeDocument/2006/relationships/drawing" Target="../drawings/drawing1.xml"/><Relationship Id="rId6"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7"/>
  <sheetViews>
    <sheetView tabSelected="1" workbookViewId="0">
      <selection activeCell="B130" sqref="B130"/>
    </sheetView>
  </sheetViews>
  <sheetFormatPr baseColWidth="10" defaultRowHeight="15" x14ac:dyDescent="0.25"/>
  <cols>
    <col min="1" max="1" width="17.42578125" customWidth="1"/>
    <col min="2" max="2" width="15.5703125" customWidth="1"/>
    <col min="3" max="3" width="16.28515625" customWidth="1"/>
    <col min="4" max="4" width="20" customWidth="1"/>
    <col min="5" max="5" width="20.42578125" customWidth="1"/>
    <col min="6" max="6" width="25.5703125" customWidth="1"/>
  </cols>
  <sheetData>
    <row r="1" spans="1:7" ht="18.75" thickTop="1" x14ac:dyDescent="0.25">
      <c r="A1" s="40"/>
      <c r="B1" s="1"/>
      <c r="C1" s="2"/>
      <c r="D1" s="2"/>
      <c r="E1" s="3"/>
      <c r="F1" s="1"/>
      <c r="G1" s="1"/>
    </row>
    <row r="2" spans="1:7" ht="18" x14ac:dyDescent="0.25">
      <c r="A2" s="40"/>
      <c r="B2" s="41" t="s">
        <v>0</v>
      </c>
      <c r="C2" s="41"/>
      <c r="D2" s="41"/>
      <c r="E2" s="41"/>
      <c r="F2" s="4"/>
      <c r="G2" s="1"/>
    </row>
    <row r="3" spans="1:7" ht="18" x14ac:dyDescent="0.25">
      <c r="A3" s="40"/>
      <c r="B3" s="42" t="str">
        <f>"AÑO "&amp;E11</f>
        <v>AÑO 2021</v>
      </c>
      <c r="C3" s="42"/>
      <c r="D3" s="42"/>
      <c r="E3" s="42"/>
      <c r="F3" s="5"/>
      <c r="G3" s="1"/>
    </row>
    <row r="4" spans="1:7" ht="18" x14ac:dyDescent="0.25">
      <c r="A4" s="40"/>
      <c r="B4" s="1"/>
      <c r="C4" s="1"/>
      <c r="D4" s="1"/>
      <c r="E4" s="6"/>
      <c r="F4" s="1"/>
      <c r="G4" s="1"/>
    </row>
    <row r="5" spans="1:7" ht="21" thickBot="1" x14ac:dyDescent="0.3">
      <c r="A5" s="7"/>
      <c r="B5" s="7"/>
      <c r="C5" s="8"/>
      <c r="D5" s="8"/>
      <c r="E5" s="8"/>
      <c r="F5" s="8"/>
      <c r="G5" s="9"/>
    </row>
    <row r="6" spans="1:7" ht="15.75" thickBot="1" x14ac:dyDescent="0.3">
      <c r="A6" s="10" t="s">
        <v>1</v>
      </c>
      <c r="B6" s="11"/>
      <c r="C6" s="12"/>
      <c r="D6" s="13" t="s">
        <v>2</v>
      </c>
      <c r="E6" s="43" t="s">
        <v>3</v>
      </c>
      <c r="F6" s="44"/>
      <c r="G6" s="14"/>
    </row>
    <row r="7" spans="1:7" ht="15.75" thickBot="1" x14ac:dyDescent="0.3">
      <c r="A7" s="15" t="s">
        <v>4</v>
      </c>
      <c r="B7" s="11"/>
      <c r="C7" s="11"/>
      <c r="D7" s="13" t="s">
        <v>5</v>
      </c>
      <c r="E7" s="43" t="s">
        <v>6</v>
      </c>
      <c r="F7" s="44"/>
      <c r="G7" s="14"/>
    </row>
    <row r="8" spans="1:7" ht="15.75" thickBot="1" x14ac:dyDescent="0.3">
      <c r="A8" s="11"/>
      <c r="B8" s="11"/>
      <c r="C8" s="11"/>
      <c r="D8" s="13" t="s">
        <v>7</v>
      </c>
      <c r="E8" s="43" t="s">
        <v>8</v>
      </c>
      <c r="F8" s="44"/>
      <c r="G8" s="14"/>
    </row>
    <row r="9" spans="1:7" ht="15.75" thickBot="1" x14ac:dyDescent="0.3">
      <c r="A9" s="16" t="s">
        <v>9</v>
      </c>
      <c r="B9" s="17">
        <f ca="1">COUNTIFS(TotalEstColumnName,"="&amp;TotalEstLabel,TotalEstColumnValue,"&gt;0")</f>
        <v>46</v>
      </c>
      <c r="C9" s="11"/>
      <c r="D9" s="13" t="s">
        <v>10</v>
      </c>
      <c r="E9" s="43" t="s">
        <v>11</v>
      </c>
      <c r="F9" s="44"/>
      <c r="G9" s="14"/>
    </row>
    <row r="10" spans="1:7" ht="27.75" thickBot="1" x14ac:dyDescent="0.3">
      <c r="A10" s="18" t="s">
        <v>12</v>
      </c>
      <c r="B10" s="19">
        <f ca="1">SUMIF(TotalEstColumnName,"="&amp;TotalEstLabel,TotalEstColumnValue)</f>
        <v>31506970</v>
      </c>
      <c r="C10" s="11"/>
      <c r="D10" s="13" t="s">
        <v>13</v>
      </c>
      <c r="E10" s="43" t="s">
        <v>14</v>
      </c>
      <c r="F10" s="44"/>
      <c r="G10" s="14"/>
    </row>
    <row r="11" spans="1:7" ht="15.75" thickBot="1" x14ac:dyDescent="0.3">
      <c r="A11" s="9"/>
      <c r="B11" s="9"/>
      <c r="C11" s="11"/>
      <c r="D11" s="13" t="s">
        <v>15</v>
      </c>
      <c r="E11" s="47" t="s">
        <v>16</v>
      </c>
      <c r="F11" s="48"/>
      <c r="G11" s="14"/>
    </row>
    <row r="12" spans="1:7" ht="15.75" thickBot="1" x14ac:dyDescent="0.3">
      <c r="A12" s="20"/>
      <c r="B12" s="20"/>
      <c r="C12" s="20"/>
      <c r="D12" s="13" t="s">
        <v>17</v>
      </c>
      <c r="E12" s="49" t="s">
        <v>18</v>
      </c>
      <c r="F12" s="50"/>
      <c r="G12" s="14"/>
    </row>
    <row r="13" spans="1:7" ht="16.5" x14ac:dyDescent="0.25">
      <c r="A13" s="21"/>
      <c r="B13" s="21"/>
      <c r="C13" s="21"/>
      <c r="D13" s="21"/>
      <c r="E13" s="21"/>
      <c r="F13" s="21"/>
      <c r="G13" s="21"/>
    </row>
    <row r="14" spans="1:7" ht="17.25" thickBot="1" x14ac:dyDescent="0.3">
      <c r="A14" s="21"/>
      <c r="B14" s="21"/>
      <c r="C14" s="21"/>
      <c r="D14" s="21"/>
      <c r="E14" s="21"/>
      <c r="F14" s="21"/>
      <c r="G14" s="21"/>
    </row>
    <row r="15" spans="1:7" ht="23.25" thickBot="1" x14ac:dyDescent="0.3">
      <c r="A15" s="22" t="s">
        <v>19</v>
      </c>
      <c r="B15" s="22" t="s">
        <v>20</v>
      </c>
      <c r="C15" s="22" t="s">
        <v>21</v>
      </c>
      <c r="D15" s="22" t="s">
        <v>22</v>
      </c>
      <c r="E15" s="22" t="s">
        <v>23</v>
      </c>
      <c r="F15" s="22" t="s">
        <v>24</v>
      </c>
      <c r="G15" s="21"/>
    </row>
    <row r="16" spans="1:7" ht="17.25" thickBot="1" x14ac:dyDescent="0.3">
      <c r="A16" s="23" t="s">
        <v>25</v>
      </c>
      <c r="B16" s="23" t="s">
        <v>26</v>
      </c>
      <c r="C16" s="23" t="s">
        <v>27</v>
      </c>
      <c r="D16" s="23" t="s">
        <v>28</v>
      </c>
      <c r="E16" s="23" t="s">
        <v>29</v>
      </c>
      <c r="F16" s="23"/>
      <c r="G16" s="21"/>
    </row>
    <row r="17" spans="1:7" ht="17.25" thickBot="1" x14ac:dyDescent="0.3">
      <c r="A17" s="45" t="s">
        <v>30</v>
      </c>
      <c r="B17" s="24" t="s">
        <v>31</v>
      </c>
      <c r="C17" s="25">
        <v>44326</v>
      </c>
      <c r="D17" s="45" t="s">
        <v>32</v>
      </c>
      <c r="E17" s="26" t="s">
        <v>33</v>
      </c>
      <c r="F17" s="27" t="s">
        <v>34</v>
      </c>
      <c r="G17" s="21"/>
    </row>
    <row r="18" spans="1:7" ht="17.25" thickBot="1" x14ac:dyDescent="0.3">
      <c r="A18" s="46"/>
      <c r="B18" s="24" t="s">
        <v>35</v>
      </c>
      <c r="C18" s="28">
        <f>IF(C17="","",IF(AND(MONTH(C17)&gt;=1,MONTH(C17)&lt;=3),1,IF(AND(MONTH(C17)&gt;=4,MONTH(C17)&lt;=6),2,IF(AND(MONTH(C17)&gt;=7,MONTH(C17)&lt;=9),3,4))))</f>
        <v>2</v>
      </c>
      <c r="D18" s="46"/>
      <c r="E18" s="26" t="s">
        <v>36</v>
      </c>
      <c r="F18" s="27" t="s">
        <v>37</v>
      </c>
      <c r="G18" s="21"/>
    </row>
    <row r="19" spans="1:7" ht="17.25" thickBot="1" x14ac:dyDescent="0.3">
      <c r="A19" s="46"/>
      <c r="B19" s="24" t="s">
        <v>38</v>
      </c>
      <c r="C19" s="25">
        <v>44337</v>
      </c>
      <c r="D19" s="46"/>
      <c r="E19" s="26" t="s">
        <v>39</v>
      </c>
      <c r="F19" s="27" t="s">
        <v>37</v>
      </c>
      <c r="G19" s="21"/>
    </row>
    <row r="20" spans="1:7" ht="17.25" thickBot="1" x14ac:dyDescent="0.3">
      <c r="A20" s="46"/>
      <c r="B20" s="24" t="s">
        <v>35</v>
      </c>
      <c r="C20" s="28">
        <f>IF(C19="","",IF(AND(MONTH(C19)&gt;=1,MONTH(C19)&lt;=3),1,IF(AND(MONTH(C19)&gt;=4,MONTH(C19)&lt;=6),2,IF(AND(MONTH(C19)&gt;=7,MONTH(C19)&lt;=9),3,4))))</f>
        <v>2</v>
      </c>
      <c r="D20" s="46"/>
      <c r="E20" s="26" t="s">
        <v>40</v>
      </c>
      <c r="F20" s="27"/>
      <c r="G20" s="21"/>
    </row>
    <row r="21" spans="1:7" ht="17.25" thickBot="1" x14ac:dyDescent="0.3">
      <c r="A21" s="21"/>
      <c r="B21" s="21"/>
      <c r="C21" s="21"/>
      <c r="D21" s="21"/>
      <c r="E21" s="21"/>
      <c r="F21" s="21"/>
      <c r="G21" s="21"/>
    </row>
    <row r="22" spans="1:7" ht="17.25" thickBot="1" x14ac:dyDescent="0.3">
      <c r="A22" s="29" t="s">
        <v>41</v>
      </c>
      <c r="B22" s="29" t="s">
        <v>42</v>
      </c>
      <c r="C22" s="29" t="s">
        <v>43</v>
      </c>
      <c r="D22" s="29" t="s">
        <v>44</v>
      </c>
      <c r="E22" s="29" t="s">
        <v>45</v>
      </c>
      <c r="F22" s="29" t="s">
        <v>46</v>
      </c>
      <c r="G22" s="21"/>
    </row>
    <row r="23" spans="1:7" ht="16.5" x14ac:dyDescent="0.25">
      <c r="A23" s="30" t="s">
        <v>47</v>
      </c>
      <c r="B23" s="31" t="str">
        <f ca="1">IFERROR(INDEX(UNSPSCDes,MATCH(INDIRECT(ADDRESS(ROW(),COLUMN()-1,4)),UNSPSCCode,0)),IF(INDIRECT(ADDRESS(ROW(),COLUMN()-1,4))="56101703","Escritorios",""))</f>
        <v>Escritorios</v>
      </c>
      <c r="C23" s="32" t="str">
        <f>IFERROR(VLOOKUP("UD",'[1]Informacion '!P:Q,2,FALSE),"")</f>
        <v>Unidad</v>
      </c>
      <c r="D23" s="30">
        <v>6</v>
      </c>
      <c r="E23" s="33">
        <v>20000</v>
      </c>
      <c r="F23" s="34">
        <f t="shared" ref="F23:F32" ca="1" si="0">INDIRECT(ADDRESS(ROW(),COLUMN()-2,4))*INDIRECT(ADDRESS(ROW(),COLUMN()-1,4))</f>
        <v>120000</v>
      </c>
      <c r="G23" s="21"/>
    </row>
    <row r="24" spans="1:7" ht="22.5" x14ac:dyDescent="0.25">
      <c r="A24" s="30" t="s">
        <v>48</v>
      </c>
      <c r="B24" s="31" t="str">
        <f ca="1">IFERROR(INDEX(UNSPSCDes,MATCH(INDIRECT(ADDRESS(ROW(),COLUMN()-1,4)),UNSPSCCode,0)),IF(INDIRECT(ADDRESS(ROW(),COLUMN()-1,4))="56101702","Gabinetes de archivo o accesorios",""))</f>
        <v>Gabinetes de archivo o accesorios</v>
      </c>
      <c r="C24" s="32" t="str">
        <f>IFERROR(VLOOKUP("UD",'[1]Informacion '!P:Q,2,FALSE),"")</f>
        <v>Unidad</v>
      </c>
      <c r="D24" s="30">
        <v>10</v>
      </c>
      <c r="E24" s="33">
        <v>7000</v>
      </c>
      <c r="F24" s="34">
        <f t="shared" ca="1" si="0"/>
        <v>70000</v>
      </c>
      <c r="G24" s="21"/>
    </row>
    <row r="25" spans="1:7" ht="22.5" x14ac:dyDescent="0.25">
      <c r="A25" s="30" t="s">
        <v>49</v>
      </c>
      <c r="B25" s="31" t="str">
        <f ca="1">IFERROR(INDEX(UNSPSCDes,MATCH(INDIRECT(ADDRESS(ROW(),COLUMN()-1,4)),UNSPSCCode,0)),IF(INDIRECT(ADDRESS(ROW(),COLUMN()-1,4))="56101706","Mesas de conferencia",""))</f>
        <v>Mesas de conferencia</v>
      </c>
      <c r="C25" s="32" t="str">
        <f>IFERROR(VLOOKUP("UD",'[1]Informacion '!P:Q,2,FALSE),"")</f>
        <v>Unidad</v>
      </c>
      <c r="D25" s="30">
        <v>2</v>
      </c>
      <c r="E25" s="33">
        <v>38000</v>
      </c>
      <c r="F25" s="34">
        <f t="shared" ca="1" si="0"/>
        <v>76000</v>
      </c>
      <c r="G25" s="21"/>
    </row>
    <row r="26" spans="1:7" ht="22.5" x14ac:dyDescent="0.25">
      <c r="A26" s="30" t="s">
        <v>50</v>
      </c>
      <c r="B26" s="31" t="str">
        <f ca="1">IFERROR(INDEX(UNSPSCDes,MATCH(INDIRECT(ADDRESS(ROW(),COLUMN()-1,4)),UNSPSCCode,0)),IF(INDIRECT(ADDRESS(ROW(),COLUMN()-1,4))="56112102","Sillas para grupos de trabajo",""))</f>
        <v>Sillas para grupos de trabajo</v>
      </c>
      <c r="C26" s="32" t="str">
        <f>IFERROR(VLOOKUP("UD",'[1]Informacion '!P:Q,2,FALSE),"")</f>
        <v>Unidad</v>
      </c>
      <c r="D26" s="30">
        <v>16</v>
      </c>
      <c r="E26" s="33">
        <v>4800</v>
      </c>
      <c r="F26" s="34">
        <f t="shared" ca="1" si="0"/>
        <v>76800</v>
      </c>
      <c r="G26" s="21"/>
    </row>
    <row r="27" spans="1:7" ht="16.5" x14ac:dyDescent="0.25">
      <c r="A27" s="30" t="s">
        <v>51</v>
      </c>
      <c r="B27" s="31" t="str">
        <f ca="1">IFERROR(INDEX(UNSPSCDes,MATCH(INDIRECT(ADDRESS(ROW(),COLUMN()-1,4)),UNSPSCCode,0)),IF(INDIRECT(ADDRESS(ROW(),COLUMN()-1,4))="56112104","Sillas para ejecutivos",""))</f>
        <v>Sillas para ejecutivos</v>
      </c>
      <c r="C27" s="32" t="str">
        <f>IFERROR(VLOOKUP("UD",'[1]Informacion '!P:Q,2,FALSE),"")</f>
        <v>Unidad</v>
      </c>
      <c r="D27" s="30">
        <v>2</v>
      </c>
      <c r="E27" s="33">
        <v>10000</v>
      </c>
      <c r="F27" s="34">
        <f t="shared" ca="1" si="0"/>
        <v>20000</v>
      </c>
      <c r="G27" s="21"/>
    </row>
    <row r="28" spans="1:7" ht="22.5" x14ac:dyDescent="0.25">
      <c r="A28" s="30" t="s">
        <v>48</v>
      </c>
      <c r="B28" s="31" t="str">
        <f ca="1">IFERROR(INDEX(UNSPSCDes,MATCH(INDIRECT(ADDRESS(ROW(),COLUMN()-1,4)),UNSPSCCode,0)),IF(INDIRECT(ADDRESS(ROW(),COLUMN()-1,4))="56101702","Gabinetes de archivo o accesorios",""))</f>
        <v>Gabinetes de archivo o accesorios</v>
      </c>
      <c r="C28" s="32" t="str">
        <f>IFERROR(VLOOKUP("UD",'[1]Informacion '!P:Q,2,FALSE),"")</f>
        <v>Unidad</v>
      </c>
      <c r="D28" s="30">
        <v>2</v>
      </c>
      <c r="E28" s="33">
        <v>22500</v>
      </c>
      <c r="F28" s="34">
        <f t="shared" ca="1" si="0"/>
        <v>45000</v>
      </c>
      <c r="G28" s="21"/>
    </row>
    <row r="29" spans="1:7" ht="22.5" x14ac:dyDescent="0.25">
      <c r="A29" s="30" t="s">
        <v>52</v>
      </c>
      <c r="B29" s="31" t="str">
        <f ca="1">IFERROR(INDEX(UNSPSCDes,MATCH(INDIRECT(ADDRESS(ROW(),COLUMN()-1,4)),UNSPSCCode,0)),IF(INDIRECT(ADDRESS(ROW(),COLUMN()-1,4))="43212110","Impresoras de múltiples funciones",""))</f>
        <v>Impresoras de múltiples funciones</v>
      </c>
      <c r="C29" s="32" t="str">
        <f>IFERROR(VLOOKUP("UD",'[1]Informacion '!P:Q,2,FALSE),"")</f>
        <v>Unidad</v>
      </c>
      <c r="D29" s="30">
        <v>4</v>
      </c>
      <c r="E29" s="33">
        <v>35000</v>
      </c>
      <c r="F29" s="34">
        <f t="shared" ca="1" si="0"/>
        <v>140000</v>
      </c>
      <c r="G29" s="21"/>
    </row>
    <row r="30" spans="1:7" ht="22.5" x14ac:dyDescent="0.25">
      <c r="A30" s="30" t="s">
        <v>53</v>
      </c>
      <c r="B30" s="31" t="str">
        <f ca="1">IFERROR(INDEX(UNSPSCDes,MATCH(INDIRECT(ADDRESS(ROW(),COLUMN()-1,4)),UNSPSCCode,0)),IF(INDIRECT(ADDRESS(ROW(),COLUMN()-1,4))="44101902","Máquinas para escribir cheques",""))</f>
        <v>Máquinas para escribir cheques</v>
      </c>
      <c r="C30" s="32" t="str">
        <f>IFERROR(VLOOKUP("UD",'[1]Informacion '!P:Q,2,FALSE),"")</f>
        <v>Unidad</v>
      </c>
      <c r="D30" s="30">
        <v>1</v>
      </c>
      <c r="E30" s="33">
        <v>19000</v>
      </c>
      <c r="F30" s="34">
        <f t="shared" ca="1" si="0"/>
        <v>19000</v>
      </c>
      <c r="G30" s="21"/>
    </row>
    <row r="31" spans="1:7" ht="33.75" x14ac:dyDescent="0.25">
      <c r="A31" s="30" t="s">
        <v>54</v>
      </c>
      <c r="B31" s="31" t="str">
        <f ca="1">IFERROR(INDEX(UNSPSCDes,MATCH(INDIRECT(ADDRESS(ROW(),COLUMN()-1,4)),UNSPSCCode,0)),IF(INDIRECT(ADDRESS(ROW(),COLUMN()-1,4))="44101603","Máquinas trituradoras de papel o accesorios",""))</f>
        <v>Máquinas trituradoras de papel o accesorios</v>
      </c>
      <c r="C31" s="32" t="str">
        <f>IFERROR(VLOOKUP("UD",'[1]Informacion '!P:Q,2,FALSE),"")</f>
        <v>Unidad</v>
      </c>
      <c r="D31" s="30">
        <v>15</v>
      </c>
      <c r="E31" s="33">
        <v>13000</v>
      </c>
      <c r="F31" s="34">
        <f t="shared" ca="1" si="0"/>
        <v>195000</v>
      </c>
      <c r="G31" s="21"/>
    </row>
    <row r="32" spans="1:7" ht="22.5" x14ac:dyDescent="0.25">
      <c r="A32" s="30" t="s">
        <v>55</v>
      </c>
      <c r="B32" s="31" t="str">
        <f ca="1">IFERROR(INDEX(UNSPSCDes,MATCH(INDIRECT(ADDRESS(ROW(),COLUMN()-1,4)),UNSPSCCode,0)),IF(INDIRECT(ADDRESS(ROW(),COLUMN()-1,4))="56111701","Escritorios no modulares",""))</f>
        <v>Escritorios no modulares</v>
      </c>
      <c r="C32" s="32" t="str">
        <f>IFERROR(VLOOKUP("UD",'[1]Informacion '!P:Q,2,FALSE),"")</f>
        <v>Unidad</v>
      </c>
      <c r="D32" s="30">
        <v>20</v>
      </c>
      <c r="E32" s="33">
        <v>22000</v>
      </c>
      <c r="F32" s="34">
        <f t="shared" ca="1" si="0"/>
        <v>440000</v>
      </c>
      <c r="G32" s="21"/>
    </row>
    <row r="33" spans="1:7" ht="16.5" x14ac:dyDescent="0.25">
      <c r="A33" s="21"/>
      <c r="B33" s="21"/>
      <c r="C33" s="21"/>
      <c r="D33" s="21"/>
      <c r="E33" s="35" t="s">
        <v>56</v>
      </c>
      <c r="F33" s="36">
        <f ca="1">SUM(Table4[MONTO TOTAL ESTIMADO])</f>
        <v>1201800</v>
      </c>
      <c r="G33" s="21"/>
    </row>
    <row r="34" spans="1:7" ht="17.25" thickBot="1" x14ac:dyDescent="0.3">
      <c r="A34" s="21"/>
      <c r="B34" s="21"/>
      <c r="C34" s="21"/>
      <c r="D34" s="21"/>
      <c r="E34" s="21"/>
      <c r="F34" s="21"/>
      <c r="G34" s="21"/>
    </row>
    <row r="35" spans="1:7" ht="23.25" thickBot="1" x14ac:dyDescent="0.3">
      <c r="A35" s="22" t="s">
        <v>19</v>
      </c>
      <c r="B35" s="22" t="s">
        <v>20</v>
      </c>
      <c r="C35" s="22" t="s">
        <v>21</v>
      </c>
      <c r="D35" s="22" t="s">
        <v>22</v>
      </c>
      <c r="E35" s="22" t="s">
        <v>23</v>
      </c>
      <c r="F35" s="22" t="s">
        <v>24</v>
      </c>
      <c r="G35" s="21"/>
    </row>
    <row r="36" spans="1:7" ht="17.25" thickBot="1" x14ac:dyDescent="0.3">
      <c r="A36" s="23" t="s">
        <v>57</v>
      </c>
      <c r="B36" s="23" t="s">
        <v>57</v>
      </c>
      <c r="C36" s="23" t="s">
        <v>27</v>
      </c>
      <c r="D36" s="23" t="s">
        <v>58</v>
      </c>
      <c r="E36" s="23" t="s">
        <v>29</v>
      </c>
      <c r="F36" s="23"/>
      <c r="G36" s="21"/>
    </row>
    <row r="37" spans="1:7" ht="17.25" thickBot="1" x14ac:dyDescent="0.3">
      <c r="A37" s="45" t="s">
        <v>30</v>
      </c>
      <c r="B37" s="24" t="s">
        <v>31</v>
      </c>
      <c r="C37" s="25">
        <v>44348</v>
      </c>
      <c r="D37" s="45" t="s">
        <v>32</v>
      </c>
      <c r="E37" s="26" t="s">
        <v>33</v>
      </c>
      <c r="F37" s="27" t="s">
        <v>34</v>
      </c>
      <c r="G37" s="21"/>
    </row>
    <row r="38" spans="1:7" ht="17.25" thickBot="1" x14ac:dyDescent="0.3">
      <c r="A38" s="46"/>
      <c r="B38" s="24" t="s">
        <v>35</v>
      </c>
      <c r="C38" s="28">
        <f>IF(C37="","",IF(AND(MONTH(C37)&gt;=1,MONTH(C37)&lt;=3),1,IF(AND(MONTH(C37)&gt;=4,MONTH(C37)&lt;=6),2,IF(AND(MONTH(C37)&gt;=7,MONTH(C37)&lt;=9),3,4))))</f>
        <v>2</v>
      </c>
      <c r="D38" s="46"/>
      <c r="E38" s="26" t="s">
        <v>36</v>
      </c>
      <c r="F38" s="27" t="s">
        <v>37</v>
      </c>
      <c r="G38" s="21"/>
    </row>
    <row r="39" spans="1:7" ht="17.25" thickBot="1" x14ac:dyDescent="0.3">
      <c r="A39" s="46"/>
      <c r="B39" s="24" t="s">
        <v>38</v>
      </c>
      <c r="C39" s="25">
        <v>44358</v>
      </c>
      <c r="D39" s="46"/>
      <c r="E39" s="26" t="s">
        <v>39</v>
      </c>
      <c r="F39" s="27" t="s">
        <v>37</v>
      </c>
      <c r="G39" s="21"/>
    </row>
    <row r="40" spans="1:7" ht="17.25" thickBot="1" x14ac:dyDescent="0.3">
      <c r="A40" s="46"/>
      <c r="B40" s="24" t="s">
        <v>35</v>
      </c>
      <c r="C40" s="28">
        <f>IF(C39="","",IF(AND(MONTH(C39)&gt;=1,MONTH(C39)&lt;=3),1,IF(AND(MONTH(C39)&gt;=4,MONTH(C39)&lt;=6),2,IF(AND(MONTH(C39)&gt;=7,MONTH(C39)&lt;=9),3,4))))</f>
        <v>2</v>
      </c>
      <c r="D40" s="46"/>
      <c r="E40" s="26" t="s">
        <v>40</v>
      </c>
      <c r="F40" s="27"/>
      <c r="G40" s="21"/>
    </row>
    <row r="41" spans="1:7" ht="17.25" thickBot="1" x14ac:dyDescent="0.3">
      <c r="A41" s="21"/>
      <c r="B41" s="21"/>
      <c r="C41" s="21"/>
      <c r="D41" s="21"/>
      <c r="E41" s="21"/>
      <c r="F41" s="21"/>
      <c r="G41" s="21"/>
    </row>
    <row r="42" spans="1:7" ht="17.25" thickBot="1" x14ac:dyDescent="0.3">
      <c r="A42" s="29" t="s">
        <v>41</v>
      </c>
      <c r="B42" s="29" t="s">
        <v>42</v>
      </c>
      <c r="C42" s="29" t="s">
        <v>43</v>
      </c>
      <c r="D42" s="29" t="s">
        <v>44</v>
      </c>
      <c r="E42" s="29" t="s">
        <v>45</v>
      </c>
      <c r="F42" s="29" t="s">
        <v>46</v>
      </c>
      <c r="G42" s="21"/>
    </row>
    <row r="43" spans="1:7" ht="16.5" x14ac:dyDescent="0.25">
      <c r="A43" s="30" t="s">
        <v>59</v>
      </c>
      <c r="B43" s="31" t="str">
        <f ca="1">IFERROR(INDEX(UNSPSCDes,MATCH(INDIRECT(ADDRESS(ROW(),COLUMN()-1,4)),UNSPSCCode,0)),IF(INDIRECT(ADDRESS(ROW(),COLUMN()-1,4))="25173901","Ignición",""))</f>
        <v>Ignición</v>
      </c>
      <c r="C43" s="32" t="str">
        <f>IFERROR(VLOOKUP("UD",'[1]Informacion '!P:Q,2,FALSE),"")</f>
        <v>Unidad</v>
      </c>
      <c r="D43" s="30">
        <v>5</v>
      </c>
      <c r="E43" s="33">
        <v>7200</v>
      </c>
      <c r="F43" s="34">
        <f ca="1">INDIRECT(ADDRESS(ROW(),COLUMN()-2,4))*INDIRECT(ADDRESS(ROW(),COLUMN()-1,4))</f>
        <v>36000</v>
      </c>
      <c r="G43" s="21"/>
    </row>
    <row r="44" spans="1:7" ht="16.5" x14ac:dyDescent="0.25">
      <c r="A44" s="30" t="s">
        <v>60</v>
      </c>
      <c r="B44" s="31" t="str">
        <f ca="1">IFERROR(INDEX(UNSPSCDes,MATCH(INDIRECT(ADDRESS(ROW(),COLUMN()-1,4)),UNSPSCCode,0)),IF(INDIRECT(ADDRESS(ROW(),COLUMN()-1,4))="26111702","Pilas alcalinas",""))</f>
        <v>Pilas alcalinas</v>
      </c>
      <c r="C44" s="32" t="str">
        <f>IFERROR(VLOOKUP("CAJ",'[1]Informacion '!P:Q,2,FALSE),"")</f>
        <v>Caja</v>
      </c>
      <c r="D44" s="30">
        <v>35</v>
      </c>
      <c r="E44" s="33">
        <v>1300</v>
      </c>
      <c r="F44" s="34">
        <f ca="1">INDIRECT(ADDRESS(ROW(),COLUMN()-2,4))*INDIRECT(ADDRESS(ROW(),COLUMN()-1,4))</f>
        <v>45500</v>
      </c>
      <c r="G44" s="21"/>
    </row>
    <row r="45" spans="1:7" ht="16.5" x14ac:dyDescent="0.25">
      <c r="A45" s="30" t="s">
        <v>60</v>
      </c>
      <c r="B45" s="31" t="str">
        <f ca="1">IFERROR(INDEX(UNSPSCDes,MATCH(INDIRECT(ADDRESS(ROW(),COLUMN()-1,4)),UNSPSCCode,0)),IF(INDIRECT(ADDRESS(ROW(),COLUMN()-1,4))="26111702","Pilas alcalinas",""))</f>
        <v>Pilas alcalinas</v>
      </c>
      <c r="C45" s="32" t="str">
        <f>IFERROR(VLOOKUP("CAJ",'[1]Informacion '!P:Q,2,FALSE),"")</f>
        <v>Caja</v>
      </c>
      <c r="D45" s="30">
        <v>38</v>
      </c>
      <c r="E45" s="33">
        <v>1500</v>
      </c>
      <c r="F45" s="34">
        <f ca="1">INDIRECT(ADDRESS(ROW(),COLUMN()-2,4))*INDIRECT(ADDRESS(ROW(),COLUMN()-1,4))</f>
        <v>57000</v>
      </c>
      <c r="G45" s="21"/>
    </row>
    <row r="46" spans="1:7" ht="16.5" x14ac:dyDescent="0.25">
      <c r="A46" s="30" t="s">
        <v>61</v>
      </c>
      <c r="B46" s="31" t="str">
        <f ca="1">IFERROR(INDEX(UNSPSCDes,MATCH(INDIRECT(ADDRESS(ROW(),COLUMN()-1,4)),UNSPSCCode,0)),IF(INDIRECT(ADDRESS(ROW(),COLUMN()-1,4))="26111701","Baterías recargables",""))</f>
        <v>Baterías recargables</v>
      </c>
      <c r="C46" s="32" t="str">
        <f>IFERROR(VLOOKUP("UD",'[1]Informacion '!P:Q,2,FALSE),"")</f>
        <v>Unidad</v>
      </c>
      <c r="D46" s="30">
        <v>10</v>
      </c>
      <c r="E46" s="33">
        <v>10000</v>
      </c>
      <c r="F46" s="34">
        <f ca="1">INDIRECT(ADDRESS(ROW(),COLUMN()-2,4))*INDIRECT(ADDRESS(ROW(),COLUMN()-1,4))</f>
        <v>100000</v>
      </c>
      <c r="G46" s="21"/>
    </row>
    <row r="47" spans="1:7" ht="16.5" x14ac:dyDescent="0.25">
      <c r="A47" s="21"/>
      <c r="B47" s="21"/>
      <c r="C47" s="21"/>
      <c r="D47" s="21"/>
      <c r="E47" s="35" t="s">
        <v>56</v>
      </c>
      <c r="F47" s="36">
        <f ca="1">SUM(Table5[MONTO TOTAL ESTIMADO])</f>
        <v>238500</v>
      </c>
      <c r="G47" s="21"/>
    </row>
    <row r="48" spans="1:7" ht="17.25" thickBot="1" x14ac:dyDescent="0.3">
      <c r="A48" s="21"/>
      <c r="B48" s="21"/>
      <c r="C48" s="21"/>
      <c r="D48" s="21"/>
      <c r="E48" s="21"/>
      <c r="F48" s="21"/>
      <c r="G48" s="21"/>
    </row>
    <row r="49" spans="1:7" ht="23.25" thickBot="1" x14ac:dyDescent="0.3">
      <c r="A49" s="22" t="s">
        <v>19</v>
      </c>
      <c r="B49" s="22" t="s">
        <v>20</v>
      </c>
      <c r="C49" s="22" t="s">
        <v>21</v>
      </c>
      <c r="D49" s="22" t="s">
        <v>22</v>
      </c>
      <c r="E49" s="22" t="s">
        <v>23</v>
      </c>
      <c r="F49" s="22" t="s">
        <v>24</v>
      </c>
      <c r="G49" s="21"/>
    </row>
    <row r="50" spans="1:7" ht="17.25" thickBot="1" x14ac:dyDescent="0.3">
      <c r="A50" s="23" t="s">
        <v>62</v>
      </c>
      <c r="B50" s="23" t="s">
        <v>63</v>
      </c>
      <c r="C50" s="23" t="s">
        <v>64</v>
      </c>
      <c r="D50" s="23" t="s">
        <v>58</v>
      </c>
      <c r="E50" s="23" t="s">
        <v>29</v>
      </c>
      <c r="F50" s="23"/>
      <c r="G50" s="21"/>
    </row>
    <row r="51" spans="1:7" ht="17.25" thickBot="1" x14ac:dyDescent="0.3">
      <c r="A51" s="45" t="s">
        <v>30</v>
      </c>
      <c r="B51" s="24" t="s">
        <v>31</v>
      </c>
      <c r="C51" s="25">
        <v>44382</v>
      </c>
      <c r="D51" s="45" t="s">
        <v>32</v>
      </c>
      <c r="E51" s="26" t="s">
        <v>33</v>
      </c>
      <c r="F51" s="27" t="s">
        <v>34</v>
      </c>
      <c r="G51" s="21"/>
    </row>
    <row r="52" spans="1:7" ht="17.25" thickBot="1" x14ac:dyDescent="0.3">
      <c r="A52" s="46"/>
      <c r="B52" s="24" t="s">
        <v>35</v>
      </c>
      <c r="C52" s="28">
        <f>IF(C51="","",IF(AND(MONTH(C51)&gt;=1,MONTH(C51)&lt;=3),1,IF(AND(MONTH(C51)&gt;=4,MONTH(C51)&lt;=6),2,IF(AND(MONTH(C51)&gt;=7,MONTH(C51)&lt;=9),3,4))))</f>
        <v>3</v>
      </c>
      <c r="D52" s="46"/>
      <c r="E52" s="26" t="s">
        <v>36</v>
      </c>
      <c r="F52" s="27" t="s">
        <v>37</v>
      </c>
      <c r="G52" s="21"/>
    </row>
    <row r="53" spans="1:7" ht="17.25" thickBot="1" x14ac:dyDescent="0.3">
      <c r="A53" s="46"/>
      <c r="B53" s="24" t="s">
        <v>38</v>
      </c>
      <c r="C53" s="25">
        <v>44393</v>
      </c>
      <c r="D53" s="46"/>
      <c r="E53" s="26" t="s">
        <v>39</v>
      </c>
      <c r="F53" s="27" t="s">
        <v>37</v>
      </c>
      <c r="G53" s="21"/>
    </row>
    <row r="54" spans="1:7" ht="17.25" thickBot="1" x14ac:dyDescent="0.3">
      <c r="A54" s="46"/>
      <c r="B54" s="24" t="s">
        <v>35</v>
      </c>
      <c r="C54" s="28">
        <f>IF(C53="","",IF(AND(MONTH(C53)&gt;=1,MONTH(C53)&lt;=3),1,IF(AND(MONTH(C53)&gt;=4,MONTH(C53)&lt;=6),2,IF(AND(MONTH(C53)&gt;=7,MONTH(C53)&lt;=9),3,4))))</f>
        <v>3</v>
      </c>
      <c r="D54" s="46"/>
      <c r="E54" s="26" t="s">
        <v>40</v>
      </c>
      <c r="F54" s="27"/>
      <c r="G54" s="21"/>
    </row>
    <row r="55" spans="1:7" ht="17.25" thickBot="1" x14ac:dyDescent="0.3">
      <c r="A55" s="21"/>
      <c r="B55" s="21"/>
      <c r="C55" s="21"/>
      <c r="D55" s="21"/>
      <c r="E55" s="21"/>
      <c r="F55" s="21"/>
      <c r="G55" s="21"/>
    </row>
    <row r="56" spans="1:7" ht="17.25" thickBot="1" x14ac:dyDescent="0.3">
      <c r="A56" s="29" t="s">
        <v>41</v>
      </c>
      <c r="B56" s="29" t="s">
        <v>42</v>
      </c>
      <c r="C56" s="29" t="s">
        <v>43</v>
      </c>
      <c r="D56" s="29" t="s">
        <v>44</v>
      </c>
      <c r="E56" s="29" t="s">
        <v>45</v>
      </c>
      <c r="F56" s="29" t="s">
        <v>46</v>
      </c>
      <c r="G56" s="21"/>
    </row>
    <row r="57" spans="1:7" ht="33.75" x14ac:dyDescent="0.25">
      <c r="A57" s="30" t="s">
        <v>65</v>
      </c>
      <c r="B57" s="31" t="str">
        <f ca="1">IFERROR(INDEX(UNSPSCDes,MATCH(INDIRECT(ADDRESS(ROW(),COLUMN()-1,4)),UNSPSCCode,0)),IF(INDIRECT(ADDRESS(ROW(),COLUMN()-1,4))="72102103","Servicios de exterminación o fumigación",""))</f>
        <v>Servicios de exterminación o fumigación</v>
      </c>
      <c r="C57" s="32" t="str">
        <f>IFERROR(VLOOKUP("UD",'[1]Informacion '!P:Q,2,FALSE),"")</f>
        <v>Unidad</v>
      </c>
      <c r="D57" s="30">
        <v>90</v>
      </c>
      <c r="E57" s="33">
        <v>7000</v>
      </c>
      <c r="F57" s="34">
        <f ca="1">INDIRECT(ADDRESS(ROW(),COLUMN()-2,4))*INDIRECT(ADDRESS(ROW(),COLUMN()-1,4))</f>
        <v>630000</v>
      </c>
      <c r="G57" s="21"/>
    </row>
    <row r="58" spans="1:7" ht="16.5" x14ac:dyDescent="0.25">
      <c r="A58" s="21"/>
      <c r="B58" s="21"/>
      <c r="C58" s="21"/>
      <c r="D58" s="21"/>
      <c r="E58" s="35" t="s">
        <v>56</v>
      </c>
      <c r="F58" s="36">
        <f ca="1">SUM(Table6[MONTO TOTAL ESTIMADO])</f>
        <v>630000</v>
      </c>
      <c r="G58" s="21"/>
    </row>
    <row r="59" spans="1:7" ht="17.25" thickBot="1" x14ac:dyDescent="0.3">
      <c r="A59" s="21"/>
      <c r="B59" s="21"/>
      <c r="C59" s="21"/>
      <c r="D59" s="21"/>
      <c r="E59" s="21"/>
      <c r="F59" s="21"/>
      <c r="G59" s="21"/>
    </row>
    <row r="60" spans="1:7" ht="23.25" thickBot="1" x14ac:dyDescent="0.3">
      <c r="A60" s="22" t="s">
        <v>19</v>
      </c>
      <c r="B60" s="22" t="s">
        <v>20</v>
      </c>
      <c r="C60" s="22" t="s">
        <v>21</v>
      </c>
      <c r="D60" s="22" t="s">
        <v>22</v>
      </c>
      <c r="E60" s="22" t="s">
        <v>23</v>
      </c>
      <c r="F60" s="22" t="s">
        <v>24</v>
      </c>
      <c r="G60" s="21"/>
    </row>
    <row r="61" spans="1:7" ht="17.25" thickBot="1" x14ac:dyDescent="0.3">
      <c r="A61" s="23" t="s">
        <v>66</v>
      </c>
      <c r="B61" s="23" t="s">
        <v>67</v>
      </c>
      <c r="C61" s="23" t="s">
        <v>27</v>
      </c>
      <c r="D61" s="23" t="s">
        <v>68</v>
      </c>
      <c r="E61" s="23" t="s">
        <v>29</v>
      </c>
      <c r="F61" s="23"/>
      <c r="G61" s="21"/>
    </row>
    <row r="62" spans="1:7" ht="17.25" thickBot="1" x14ac:dyDescent="0.3">
      <c r="A62" s="45" t="s">
        <v>30</v>
      </c>
      <c r="B62" s="24" t="s">
        <v>31</v>
      </c>
      <c r="C62" s="25">
        <v>44270</v>
      </c>
      <c r="D62" s="45" t="s">
        <v>32</v>
      </c>
      <c r="E62" s="26" t="s">
        <v>33</v>
      </c>
      <c r="F62" s="27" t="s">
        <v>34</v>
      </c>
      <c r="G62" s="21"/>
    </row>
    <row r="63" spans="1:7" ht="17.25" thickBot="1" x14ac:dyDescent="0.3">
      <c r="A63" s="46"/>
      <c r="B63" s="24" t="s">
        <v>35</v>
      </c>
      <c r="C63" s="28">
        <f>IF(C62="","",IF(AND(MONTH(C62)&gt;=1,MONTH(C62)&lt;=3),1,IF(AND(MONTH(C62)&gt;=4,MONTH(C62)&lt;=6),2,IF(AND(MONTH(C62)&gt;=7,MONTH(C62)&lt;=9),3,4))))</f>
        <v>1</v>
      </c>
      <c r="D63" s="46"/>
      <c r="E63" s="26" t="s">
        <v>36</v>
      </c>
      <c r="F63" s="27" t="s">
        <v>37</v>
      </c>
      <c r="G63" s="21"/>
    </row>
    <row r="64" spans="1:7" ht="17.25" thickBot="1" x14ac:dyDescent="0.3">
      <c r="A64" s="46"/>
      <c r="B64" s="24" t="s">
        <v>38</v>
      </c>
      <c r="C64" s="25">
        <v>44281</v>
      </c>
      <c r="D64" s="46"/>
      <c r="E64" s="26" t="s">
        <v>39</v>
      </c>
      <c r="F64" s="27" t="s">
        <v>37</v>
      </c>
      <c r="G64" s="21"/>
    </row>
    <row r="65" spans="1:7" ht="17.25" thickBot="1" x14ac:dyDescent="0.3">
      <c r="A65" s="46"/>
      <c r="B65" s="24" t="s">
        <v>35</v>
      </c>
      <c r="C65" s="28">
        <f>IF(C64="","",IF(AND(MONTH(C64)&gt;=1,MONTH(C64)&lt;=3),1,IF(AND(MONTH(C64)&gt;=4,MONTH(C64)&lt;=6),2,IF(AND(MONTH(C64)&gt;=7,MONTH(C64)&lt;=9),3,4))))</f>
        <v>1</v>
      </c>
      <c r="D65" s="46"/>
      <c r="E65" s="26" t="s">
        <v>40</v>
      </c>
      <c r="F65" s="27"/>
      <c r="G65" s="21"/>
    </row>
    <row r="66" spans="1:7" ht="17.25" thickBot="1" x14ac:dyDescent="0.3">
      <c r="A66" s="21"/>
      <c r="B66" s="21"/>
      <c r="C66" s="21"/>
      <c r="D66" s="21"/>
      <c r="E66" s="21"/>
      <c r="F66" s="21"/>
      <c r="G66" s="21"/>
    </row>
    <row r="67" spans="1:7" ht="17.25" thickBot="1" x14ac:dyDescent="0.3">
      <c r="A67" s="29" t="s">
        <v>41</v>
      </c>
      <c r="B67" s="29" t="s">
        <v>42</v>
      </c>
      <c r="C67" s="29" t="s">
        <v>43</v>
      </c>
      <c r="D67" s="29" t="s">
        <v>44</v>
      </c>
      <c r="E67" s="29" t="s">
        <v>45</v>
      </c>
      <c r="F67" s="29" t="s">
        <v>46</v>
      </c>
      <c r="G67" s="21"/>
    </row>
    <row r="68" spans="1:7" ht="16.5" x14ac:dyDescent="0.25">
      <c r="A68" s="30" t="s">
        <v>69</v>
      </c>
      <c r="B68" s="31" t="str">
        <f ca="1">IFERROR(INDEX(UNSPSCDes,MATCH(INDIRECT(ADDRESS(ROW(),COLUMN()-1,4)),UNSPSCCode,0)),IF(INDIRECT(ADDRESS(ROW(),COLUMN()-1,4))="45121504","Cámaras digitales",""))</f>
        <v>Cámaras digitales</v>
      </c>
      <c r="C68" s="32" t="str">
        <f>IFERROR(VLOOKUP("UD",'[1]Informacion '!P:Q,2,FALSE),"")</f>
        <v>Unidad</v>
      </c>
      <c r="D68" s="30">
        <v>2</v>
      </c>
      <c r="E68" s="33">
        <v>18000</v>
      </c>
      <c r="F68" s="34">
        <f ca="1">INDIRECT(ADDRESS(ROW(),COLUMN()-2,4))*INDIRECT(ADDRESS(ROW(),COLUMN()-1,4))</f>
        <v>36000</v>
      </c>
      <c r="G68" s="21"/>
    </row>
    <row r="69" spans="1:7" ht="16.5" x14ac:dyDescent="0.25">
      <c r="A69" s="21"/>
      <c r="B69" s="21"/>
      <c r="C69" s="21"/>
      <c r="D69" s="21"/>
      <c r="E69" s="35" t="s">
        <v>56</v>
      </c>
      <c r="F69" s="36">
        <f ca="1">SUM(Table7[MONTO TOTAL ESTIMADO])</f>
        <v>36000</v>
      </c>
      <c r="G69" s="21"/>
    </row>
    <row r="70" spans="1:7" ht="17.25" thickBot="1" x14ac:dyDescent="0.3">
      <c r="A70" s="21"/>
      <c r="B70" s="21"/>
      <c r="C70" s="21"/>
      <c r="D70" s="21"/>
      <c r="E70" s="21"/>
      <c r="F70" s="21"/>
      <c r="G70" s="21"/>
    </row>
    <row r="71" spans="1:7" ht="23.25" thickBot="1" x14ac:dyDescent="0.3">
      <c r="A71" s="22" t="s">
        <v>19</v>
      </c>
      <c r="B71" s="22" t="s">
        <v>20</v>
      </c>
      <c r="C71" s="22" t="s">
        <v>21</v>
      </c>
      <c r="D71" s="22" t="s">
        <v>22</v>
      </c>
      <c r="E71" s="22" t="s">
        <v>23</v>
      </c>
      <c r="F71" s="22" t="s">
        <v>24</v>
      </c>
      <c r="G71" s="21"/>
    </row>
    <row r="72" spans="1:7" ht="17.25" thickBot="1" x14ac:dyDescent="0.3">
      <c r="A72" s="23" t="s">
        <v>70</v>
      </c>
      <c r="B72" s="23" t="s">
        <v>71</v>
      </c>
      <c r="C72" s="23" t="s">
        <v>27</v>
      </c>
      <c r="D72" s="23" t="s">
        <v>68</v>
      </c>
      <c r="E72" s="23" t="s">
        <v>29</v>
      </c>
      <c r="F72" s="23"/>
      <c r="G72" s="21"/>
    </row>
    <row r="73" spans="1:7" ht="17.25" thickBot="1" x14ac:dyDescent="0.3">
      <c r="A73" s="45" t="s">
        <v>30</v>
      </c>
      <c r="B73" s="24" t="s">
        <v>31</v>
      </c>
      <c r="C73" s="25">
        <v>44218</v>
      </c>
      <c r="D73" s="45" t="s">
        <v>32</v>
      </c>
      <c r="E73" s="26" t="s">
        <v>33</v>
      </c>
      <c r="F73" s="27" t="s">
        <v>34</v>
      </c>
      <c r="G73" s="21"/>
    </row>
    <row r="74" spans="1:7" ht="17.25" thickBot="1" x14ac:dyDescent="0.3">
      <c r="A74" s="46"/>
      <c r="B74" s="24" t="s">
        <v>35</v>
      </c>
      <c r="C74" s="28">
        <f>IF(C73="","",IF(AND(MONTH(C73)&gt;=1,MONTH(C73)&lt;=3),1,IF(AND(MONTH(C73)&gt;=4,MONTH(C73)&lt;=6),2,IF(AND(MONTH(C73)&gt;=7,MONTH(C73)&lt;=9),3,4))))</f>
        <v>1</v>
      </c>
      <c r="D74" s="46"/>
      <c r="E74" s="26" t="s">
        <v>36</v>
      </c>
      <c r="F74" s="27" t="s">
        <v>37</v>
      </c>
      <c r="G74" s="21"/>
    </row>
    <row r="75" spans="1:7" ht="17.25" thickBot="1" x14ac:dyDescent="0.3">
      <c r="A75" s="46"/>
      <c r="B75" s="24" t="s">
        <v>38</v>
      </c>
      <c r="C75" s="25">
        <v>44224</v>
      </c>
      <c r="D75" s="46"/>
      <c r="E75" s="26" t="s">
        <v>39</v>
      </c>
      <c r="F75" s="27" t="s">
        <v>37</v>
      </c>
      <c r="G75" s="21"/>
    </row>
    <row r="76" spans="1:7" ht="17.25" thickBot="1" x14ac:dyDescent="0.3">
      <c r="A76" s="46"/>
      <c r="B76" s="24" t="s">
        <v>35</v>
      </c>
      <c r="C76" s="28">
        <f>IF(C75="","",IF(AND(MONTH(C75)&gt;=1,MONTH(C75)&lt;=3),1,IF(AND(MONTH(C75)&gt;=4,MONTH(C75)&lt;=6),2,IF(AND(MONTH(C75)&gt;=7,MONTH(C75)&lt;=9),3,4))))</f>
        <v>1</v>
      </c>
      <c r="D76" s="46"/>
      <c r="E76" s="26" t="s">
        <v>40</v>
      </c>
      <c r="F76" s="27"/>
      <c r="G76" s="21"/>
    </row>
    <row r="77" spans="1:7" ht="17.25" thickBot="1" x14ac:dyDescent="0.3">
      <c r="A77" s="21"/>
      <c r="B77" s="21"/>
      <c r="C77" s="21"/>
      <c r="D77" s="21"/>
      <c r="E77" s="21"/>
      <c r="F77" s="21"/>
      <c r="G77" s="21"/>
    </row>
    <row r="78" spans="1:7" ht="17.25" thickBot="1" x14ac:dyDescent="0.3">
      <c r="A78" s="29" t="s">
        <v>41</v>
      </c>
      <c r="B78" s="29" t="s">
        <v>42</v>
      </c>
      <c r="C78" s="29" t="s">
        <v>43</v>
      </c>
      <c r="D78" s="29" t="s">
        <v>44</v>
      </c>
      <c r="E78" s="29" t="s">
        <v>45</v>
      </c>
      <c r="F78" s="29" t="s">
        <v>46</v>
      </c>
      <c r="G78" s="21"/>
    </row>
    <row r="79" spans="1:7" ht="22.5" x14ac:dyDescent="0.25">
      <c r="A79" s="30" t="s">
        <v>72</v>
      </c>
      <c r="B79" s="31" t="str">
        <f ca="1">IFERROR(INDEX(UNSPSCDes,MATCH(INDIRECT(ADDRESS(ROW(),COLUMN()-1,4)),UNSPSCCode,0)),IF(INDIRECT(ADDRESS(ROW(),COLUMN()-1,4))="52141501","Neveras para uso doméstico",""))</f>
        <v>Neveras para uso doméstico</v>
      </c>
      <c r="C79" s="32" t="str">
        <f>IFERROR(VLOOKUP("UD",'[1]Informacion '!P:Q,2,FALSE),"")</f>
        <v>Unidad</v>
      </c>
      <c r="D79" s="30">
        <v>1</v>
      </c>
      <c r="E79" s="33">
        <v>40000</v>
      </c>
      <c r="F79" s="34">
        <f ca="1">INDIRECT(ADDRESS(ROW(),COLUMN()-2,4))*INDIRECT(ADDRESS(ROW(),COLUMN()-1,4))</f>
        <v>40000</v>
      </c>
      <c r="G79" s="21"/>
    </row>
    <row r="80" spans="1:7" ht="16.5" x14ac:dyDescent="0.25">
      <c r="A80" s="21"/>
      <c r="B80" s="21"/>
      <c r="C80" s="21"/>
      <c r="D80" s="21"/>
      <c r="E80" s="35" t="s">
        <v>56</v>
      </c>
      <c r="F80" s="36">
        <f ca="1">SUM(Table8[MONTO TOTAL ESTIMADO])</f>
        <v>40000</v>
      </c>
      <c r="G80" s="21"/>
    </row>
    <row r="81" spans="1:7" ht="17.25" thickBot="1" x14ac:dyDescent="0.3">
      <c r="A81" s="21"/>
      <c r="B81" s="21"/>
      <c r="C81" s="21"/>
      <c r="D81" s="21"/>
      <c r="E81" s="21"/>
      <c r="F81" s="21"/>
      <c r="G81" s="21"/>
    </row>
    <row r="82" spans="1:7" ht="23.25" thickBot="1" x14ac:dyDescent="0.3">
      <c r="A82" s="22" t="s">
        <v>19</v>
      </c>
      <c r="B82" s="22" t="s">
        <v>20</v>
      </c>
      <c r="C82" s="22" t="s">
        <v>21</v>
      </c>
      <c r="D82" s="22" t="s">
        <v>22</v>
      </c>
      <c r="E82" s="22" t="s">
        <v>23</v>
      </c>
      <c r="F82" s="22" t="s">
        <v>24</v>
      </c>
      <c r="G82" s="21"/>
    </row>
    <row r="83" spans="1:7" ht="17.25" thickBot="1" x14ac:dyDescent="0.3">
      <c r="A83" s="23" t="s">
        <v>73</v>
      </c>
      <c r="B83" s="23" t="s">
        <v>74</v>
      </c>
      <c r="C83" s="23" t="s">
        <v>64</v>
      </c>
      <c r="D83" s="23" t="s">
        <v>58</v>
      </c>
      <c r="E83" s="23" t="s">
        <v>29</v>
      </c>
      <c r="F83" s="23"/>
      <c r="G83" s="21"/>
    </row>
    <row r="84" spans="1:7" ht="17.25" thickBot="1" x14ac:dyDescent="0.3">
      <c r="A84" s="45" t="s">
        <v>30</v>
      </c>
      <c r="B84" s="24" t="s">
        <v>31</v>
      </c>
      <c r="C84" s="25">
        <v>44314</v>
      </c>
      <c r="D84" s="45" t="s">
        <v>32</v>
      </c>
      <c r="E84" s="26" t="s">
        <v>33</v>
      </c>
      <c r="F84" s="27" t="s">
        <v>34</v>
      </c>
      <c r="G84" s="21"/>
    </row>
    <row r="85" spans="1:7" ht="17.25" thickBot="1" x14ac:dyDescent="0.3">
      <c r="A85" s="46"/>
      <c r="B85" s="24" t="s">
        <v>35</v>
      </c>
      <c r="C85" s="28">
        <f>IF(C84="","",IF(AND(MONTH(C84)&gt;=1,MONTH(C84)&lt;=3),1,IF(AND(MONTH(C84)&gt;=4,MONTH(C84)&lt;=6),2,IF(AND(MONTH(C84)&gt;=7,MONTH(C84)&lt;=9),3,4))))</f>
        <v>2</v>
      </c>
      <c r="D85" s="46"/>
      <c r="E85" s="26" t="s">
        <v>36</v>
      </c>
      <c r="F85" s="27" t="s">
        <v>37</v>
      </c>
      <c r="G85" s="21"/>
    </row>
    <row r="86" spans="1:7" ht="17.25" thickBot="1" x14ac:dyDescent="0.3">
      <c r="A86" s="46"/>
      <c r="B86" s="24" t="s">
        <v>38</v>
      </c>
      <c r="C86" s="25">
        <v>44328</v>
      </c>
      <c r="D86" s="46"/>
      <c r="E86" s="26" t="s">
        <v>39</v>
      </c>
      <c r="F86" s="27" t="s">
        <v>37</v>
      </c>
      <c r="G86" s="21"/>
    </row>
    <row r="87" spans="1:7" ht="17.25" thickBot="1" x14ac:dyDescent="0.3">
      <c r="A87" s="46"/>
      <c r="B87" s="24" t="s">
        <v>35</v>
      </c>
      <c r="C87" s="28">
        <f>IF(C86="","",IF(AND(MONTH(C86)&gt;=1,MONTH(C86)&lt;=3),1,IF(AND(MONTH(C86)&gt;=4,MONTH(C86)&lt;=6),2,IF(AND(MONTH(C86)&gt;=7,MONTH(C86)&lt;=9),3,4))))</f>
        <v>2</v>
      </c>
      <c r="D87" s="46"/>
      <c r="E87" s="26" t="s">
        <v>40</v>
      </c>
      <c r="F87" s="27"/>
      <c r="G87" s="21"/>
    </row>
    <row r="88" spans="1:7" ht="17.25" thickBot="1" x14ac:dyDescent="0.3">
      <c r="A88" s="21"/>
      <c r="B88" s="21"/>
      <c r="C88" s="21"/>
      <c r="D88" s="21"/>
      <c r="E88" s="21"/>
      <c r="F88" s="21"/>
      <c r="G88" s="21"/>
    </row>
    <row r="89" spans="1:7" ht="17.25" thickBot="1" x14ac:dyDescent="0.3">
      <c r="A89" s="29" t="s">
        <v>41</v>
      </c>
      <c r="B89" s="29" t="s">
        <v>42</v>
      </c>
      <c r="C89" s="29" t="s">
        <v>43</v>
      </c>
      <c r="D89" s="29" t="s">
        <v>44</v>
      </c>
      <c r="E89" s="29" t="s">
        <v>45</v>
      </c>
      <c r="F89" s="29" t="s">
        <v>46</v>
      </c>
      <c r="G89" s="21"/>
    </row>
    <row r="90" spans="1:7" ht="22.5" x14ac:dyDescent="0.25">
      <c r="A90" s="30" t="s">
        <v>75</v>
      </c>
      <c r="B90" s="31" t="str">
        <f t="shared" ref="B90:B105" ca="1" si="1">IFERROR(INDEX(UNSPSCDes,MATCH(INDIRECT(ADDRESS(ROW(),COLUMN()-1,4)),UNSPSCCode,0)),IF(INDIRECT(ADDRESS(ROW(),COLUMN()-1,4))="53102710","Uniformes corporativos",""))</f>
        <v>Uniformes corporativos</v>
      </c>
      <c r="C90" s="32" t="str">
        <f>IFERROR(VLOOKUP("UD",'[1]Informacion '!P:Q,2,FALSE),"")</f>
        <v>Unidad</v>
      </c>
      <c r="D90" s="30">
        <v>61</v>
      </c>
      <c r="E90" s="33">
        <v>700</v>
      </c>
      <c r="F90" s="34">
        <f t="shared" ref="F90:F105" ca="1" si="2">INDIRECT(ADDRESS(ROW(),COLUMN()-2,4))*INDIRECT(ADDRESS(ROW(),COLUMN()-1,4))</f>
        <v>42700</v>
      </c>
      <c r="G90" s="21"/>
    </row>
    <row r="91" spans="1:7" ht="22.5" x14ac:dyDescent="0.25">
      <c r="A91" s="30" t="s">
        <v>75</v>
      </c>
      <c r="B91" s="31" t="str">
        <f t="shared" ca="1" si="1"/>
        <v>Uniformes corporativos</v>
      </c>
      <c r="C91" s="32" t="str">
        <f>IFERROR(VLOOKUP("UD",'[1]Informacion '!P:Q,2,FALSE),"")</f>
        <v>Unidad</v>
      </c>
      <c r="D91" s="30">
        <v>24</v>
      </c>
      <c r="E91" s="33">
        <v>700</v>
      </c>
      <c r="F91" s="34">
        <f t="shared" ca="1" si="2"/>
        <v>16800</v>
      </c>
      <c r="G91" s="21"/>
    </row>
    <row r="92" spans="1:7" ht="22.5" x14ac:dyDescent="0.25">
      <c r="A92" s="30" t="s">
        <v>75</v>
      </c>
      <c r="B92" s="31" t="str">
        <f t="shared" ca="1" si="1"/>
        <v>Uniformes corporativos</v>
      </c>
      <c r="C92" s="32" t="str">
        <f>IFERROR(VLOOKUP("UD",'[1]Informacion '!P:Q,2,FALSE),"")</f>
        <v>Unidad</v>
      </c>
      <c r="D92" s="30">
        <v>4</v>
      </c>
      <c r="E92" s="33">
        <v>1200</v>
      </c>
      <c r="F92" s="34">
        <f t="shared" ca="1" si="2"/>
        <v>4800</v>
      </c>
      <c r="G92" s="21"/>
    </row>
    <row r="93" spans="1:7" ht="22.5" x14ac:dyDescent="0.25">
      <c r="A93" s="30" t="s">
        <v>75</v>
      </c>
      <c r="B93" s="31" t="str">
        <f t="shared" ca="1" si="1"/>
        <v>Uniformes corporativos</v>
      </c>
      <c r="C93" s="32" t="str">
        <f>IFERROR(VLOOKUP("UD",'[1]Informacion '!P:Q,2,FALSE),"")</f>
        <v>Unidad</v>
      </c>
      <c r="D93" s="30">
        <v>2</v>
      </c>
      <c r="E93" s="33">
        <v>1500</v>
      </c>
      <c r="F93" s="34">
        <f t="shared" ca="1" si="2"/>
        <v>3000</v>
      </c>
      <c r="G93" s="21"/>
    </row>
    <row r="94" spans="1:7" ht="22.5" x14ac:dyDescent="0.25">
      <c r="A94" s="30" t="s">
        <v>75</v>
      </c>
      <c r="B94" s="31" t="str">
        <f t="shared" ca="1" si="1"/>
        <v>Uniformes corporativos</v>
      </c>
      <c r="C94" s="32" t="str">
        <f>IFERROR(VLOOKUP("UD",'[1]Informacion '!P:Q,2,FALSE),"")</f>
        <v>Unidad</v>
      </c>
      <c r="D94" s="30">
        <v>70</v>
      </c>
      <c r="E94" s="33">
        <v>1100</v>
      </c>
      <c r="F94" s="34">
        <f t="shared" ca="1" si="2"/>
        <v>77000</v>
      </c>
      <c r="G94" s="21"/>
    </row>
    <row r="95" spans="1:7" ht="22.5" x14ac:dyDescent="0.25">
      <c r="A95" s="30" t="s">
        <v>75</v>
      </c>
      <c r="B95" s="31" t="str">
        <f t="shared" ca="1" si="1"/>
        <v>Uniformes corporativos</v>
      </c>
      <c r="C95" s="32" t="str">
        <f>IFERROR(VLOOKUP("UD",'[1]Informacion '!P:Q,2,FALSE),"")</f>
        <v>Unidad</v>
      </c>
      <c r="D95" s="30">
        <v>48</v>
      </c>
      <c r="E95" s="33">
        <v>1200</v>
      </c>
      <c r="F95" s="34">
        <f t="shared" ca="1" si="2"/>
        <v>57600</v>
      </c>
      <c r="G95" s="21"/>
    </row>
    <row r="96" spans="1:7" ht="22.5" x14ac:dyDescent="0.25">
      <c r="A96" s="30" t="s">
        <v>75</v>
      </c>
      <c r="B96" s="31" t="str">
        <f t="shared" ca="1" si="1"/>
        <v>Uniformes corporativos</v>
      </c>
      <c r="C96" s="32" t="str">
        <f>IFERROR(VLOOKUP("UD",'[1]Informacion '!P:Q,2,FALSE),"")</f>
        <v>Unidad</v>
      </c>
      <c r="D96" s="30">
        <v>4</v>
      </c>
      <c r="E96" s="33">
        <v>1200</v>
      </c>
      <c r="F96" s="34">
        <f t="shared" ca="1" si="2"/>
        <v>4800</v>
      </c>
      <c r="G96" s="21"/>
    </row>
    <row r="97" spans="1:7" ht="22.5" x14ac:dyDescent="0.25">
      <c r="A97" s="30" t="s">
        <v>75</v>
      </c>
      <c r="B97" s="31" t="str">
        <f t="shared" ca="1" si="1"/>
        <v>Uniformes corporativos</v>
      </c>
      <c r="C97" s="32" t="str">
        <f>IFERROR(VLOOKUP("UD",'[1]Informacion '!P:Q,2,FALSE),"")</f>
        <v>Unidad</v>
      </c>
      <c r="D97" s="30">
        <v>8</v>
      </c>
      <c r="E97" s="33">
        <v>600</v>
      </c>
      <c r="F97" s="34">
        <f t="shared" ca="1" si="2"/>
        <v>4800</v>
      </c>
      <c r="G97" s="21"/>
    </row>
    <row r="98" spans="1:7" ht="22.5" x14ac:dyDescent="0.25">
      <c r="A98" s="30" t="s">
        <v>75</v>
      </c>
      <c r="B98" s="31" t="str">
        <f t="shared" ca="1" si="1"/>
        <v>Uniformes corporativos</v>
      </c>
      <c r="C98" s="32" t="str">
        <f>IFERROR(VLOOKUP("UD",'[1]Informacion '!P:Q,2,FALSE),"")</f>
        <v>Unidad</v>
      </c>
      <c r="D98" s="30">
        <v>2</v>
      </c>
      <c r="E98" s="33">
        <v>3500</v>
      </c>
      <c r="F98" s="34">
        <f t="shared" ca="1" si="2"/>
        <v>7000</v>
      </c>
      <c r="G98" s="21"/>
    </row>
    <row r="99" spans="1:7" ht="22.5" x14ac:dyDescent="0.25">
      <c r="A99" s="30" t="s">
        <v>75</v>
      </c>
      <c r="B99" s="31" t="str">
        <f t="shared" ca="1" si="1"/>
        <v>Uniformes corporativos</v>
      </c>
      <c r="C99" s="32" t="str">
        <f>IFERROR(VLOOKUP("UD",'[1]Informacion '!P:Q,2,FALSE),"")</f>
        <v>Unidad</v>
      </c>
      <c r="D99" s="30">
        <v>12</v>
      </c>
      <c r="E99" s="33">
        <v>1300</v>
      </c>
      <c r="F99" s="34">
        <f t="shared" ca="1" si="2"/>
        <v>15600</v>
      </c>
      <c r="G99" s="21"/>
    </row>
    <row r="100" spans="1:7" ht="22.5" x14ac:dyDescent="0.25">
      <c r="A100" s="30" t="s">
        <v>75</v>
      </c>
      <c r="B100" s="31" t="str">
        <f t="shared" ca="1" si="1"/>
        <v>Uniformes corporativos</v>
      </c>
      <c r="C100" s="32" t="str">
        <f>IFERROR(VLOOKUP("UD",'[1]Informacion '!P:Q,2,FALSE),"")</f>
        <v>Unidad</v>
      </c>
      <c r="D100" s="30">
        <v>4</v>
      </c>
      <c r="E100" s="33">
        <v>2500</v>
      </c>
      <c r="F100" s="34">
        <f t="shared" ca="1" si="2"/>
        <v>10000</v>
      </c>
      <c r="G100" s="21"/>
    </row>
    <row r="101" spans="1:7" ht="22.5" x14ac:dyDescent="0.25">
      <c r="A101" s="30" t="s">
        <v>75</v>
      </c>
      <c r="B101" s="31" t="str">
        <f t="shared" ca="1" si="1"/>
        <v>Uniformes corporativos</v>
      </c>
      <c r="C101" s="32" t="str">
        <f>IFERROR(VLOOKUP("UD",'[1]Informacion '!P:Q,2,FALSE),"")</f>
        <v>Unidad</v>
      </c>
      <c r="D101" s="30">
        <v>70</v>
      </c>
      <c r="E101" s="33">
        <v>1200</v>
      </c>
      <c r="F101" s="34">
        <f t="shared" ca="1" si="2"/>
        <v>84000</v>
      </c>
      <c r="G101" s="21"/>
    </row>
    <row r="102" spans="1:7" ht="22.5" x14ac:dyDescent="0.25">
      <c r="A102" s="30" t="s">
        <v>75</v>
      </c>
      <c r="B102" s="31" t="str">
        <f t="shared" ca="1" si="1"/>
        <v>Uniformes corporativos</v>
      </c>
      <c r="C102" s="32" t="str">
        <f>IFERROR(VLOOKUP("UD",'[1]Informacion '!P:Q,2,FALSE),"")</f>
        <v>Unidad</v>
      </c>
      <c r="D102" s="30">
        <v>40</v>
      </c>
      <c r="E102" s="33">
        <v>1200</v>
      </c>
      <c r="F102" s="34">
        <f t="shared" ca="1" si="2"/>
        <v>48000</v>
      </c>
      <c r="G102" s="21"/>
    </row>
    <row r="103" spans="1:7" ht="22.5" x14ac:dyDescent="0.25">
      <c r="A103" s="30" t="s">
        <v>75</v>
      </c>
      <c r="B103" s="31" t="str">
        <f t="shared" ca="1" si="1"/>
        <v>Uniformes corporativos</v>
      </c>
      <c r="C103" s="32" t="str">
        <f>IFERROR(VLOOKUP("UD",'[1]Informacion '!P:Q,2,FALSE),"")</f>
        <v>Unidad</v>
      </c>
      <c r="D103" s="30">
        <v>4</v>
      </c>
      <c r="E103" s="33">
        <v>2500</v>
      </c>
      <c r="F103" s="34">
        <f t="shared" ca="1" si="2"/>
        <v>10000</v>
      </c>
      <c r="G103" s="21"/>
    </row>
    <row r="104" spans="1:7" ht="22.5" x14ac:dyDescent="0.25">
      <c r="A104" s="30" t="s">
        <v>75</v>
      </c>
      <c r="B104" s="31" t="str">
        <f t="shared" ca="1" si="1"/>
        <v>Uniformes corporativos</v>
      </c>
      <c r="C104" s="32" t="str">
        <f>IFERROR(VLOOKUP("UD",'[1]Informacion '!P:Q,2,FALSE),"")</f>
        <v>Unidad</v>
      </c>
      <c r="D104" s="30">
        <v>2</v>
      </c>
      <c r="E104" s="33">
        <v>2000</v>
      </c>
      <c r="F104" s="34">
        <f t="shared" ca="1" si="2"/>
        <v>4000</v>
      </c>
      <c r="G104" s="21"/>
    </row>
    <row r="105" spans="1:7" ht="22.5" x14ac:dyDescent="0.25">
      <c r="A105" s="30" t="s">
        <v>75</v>
      </c>
      <c r="B105" s="31" t="str">
        <f t="shared" ca="1" si="1"/>
        <v>Uniformes corporativos</v>
      </c>
      <c r="C105" s="32" t="str">
        <f>IFERROR(VLOOKUP("UD",'[1]Informacion '!P:Q,2,FALSE),"")</f>
        <v>Unidad</v>
      </c>
      <c r="D105" s="30">
        <v>2</v>
      </c>
      <c r="E105" s="33">
        <v>2300</v>
      </c>
      <c r="F105" s="34">
        <f t="shared" ca="1" si="2"/>
        <v>4600</v>
      </c>
      <c r="G105" s="21"/>
    </row>
    <row r="106" spans="1:7" ht="16.5" x14ac:dyDescent="0.25">
      <c r="A106" s="21"/>
      <c r="B106" s="21"/>
      <c r="C106" s="21"/>
      <c r="D106" s="21"/>
      <c r="E106" s="35" t="s">
        <v>56</v>
      </c>
      <c r="F106" s="36">
        <f ca="1">SUM(Table9[MONTO TOTAL ESTIMADO])</f>
        <v>394700</v>
      </c>
      <c r="G106" s="21"/>
    </row>
    <row r="107" spans="1:7" ht="17.25" thickBot="1" x14ac:dyDescent="0.3">
      <c r="A107" s="21"/>
      <c r="B107" s="21"/>
      <c r="C107" s="21"/>
      <c r="D107" s="21"/>
      <c r="E107" s="21"/>
      <c r="F107" s="21"/>
      <c r="G107" s="21"/>
    </row>
    <row r="108" spans="1:7" ht="23.25" thickBot="1" x14ac:dyDescent="0.3">
      <c r="A108" s="22" t="s">
        <v>19</v>
      </c>
      <c r="B108" s="22" t="s">
        <v>20</v>
      </c>
      <c r="C108" s="22" t="s">
        <v>21</v>
      </c>
      <c r="D108" s="22" t="s">
        <v>22</v>
      </c>
      <c r="E108" s="22" t="s">
        <v>23</v>
      </c>
      <c r="F108" s="22" t="s">
        <v>24</v>
      </c>
      <c r="G108" s="21"/>
    </row>
    <row r="109" spans="1:7" ht="17.25" thickBot="1" x14ac:dyDescent="0.3">
      <c r="A109" s="23" t="s">
        <v>76</v>
      </c>
      <c r="B109" s="23" t="s">
        <v>76</v>
      </c>
      <c r="C109" s="23" t="s">
        <v>64</v>
      </c>
      <c r="D109" s="23" t="s">
        <v>68</v>
      </c>
      <c r="E109" s="23" t="s">
        <v>29</v>
      </c>
      <c r="F109" s="23"/>
      <c r="G109" s="21"/>
    </row>
    <row r="110" spans="1:7" ht="17.25" thickBot="1" x14ac:dyDescent="0.3">
      <c r="A110" s="45" t="s">
        <v>30</v>
      </c>
      <c r="B110" s="24" t="s">
        <v>31</v>
      </c>
      <c r="C110" s="25">
        <v>44214</v>
      </c>
      <c r="D110" s="45" t="s">
        <v>32</v>
      </c>
      <c r="E110" s="26" t="s">
        <v>33</v>
      </c>
      <c r="F110" s="27" t="s">
        <v>34</v>
      </c>
      <c r="G110" s="21"/>
    </row>
    <row r="111" spans="1:7" ht="17.25" thickBot="1" x14ac:dyDescent="0.3">
      <c r="A111" s="46"/>
      <c r="B111" s="24" t="s">
        <v>35</v>
      </c>
      <c r="C111" s="28">
        <f>IF(C110="","",IF(AND(MONTH(C110)&gt;=1,MONTH(C110)&lt;=3),1,IF(AND(MONTH(C110)&gt;=4,MONTH(C110)&lt;=6),2,IF(AND(MONTH(C110)&gt;=7,MONTH(C110)&lt;=9),3,4))))</f>
        <v>1</v>
      </c>
      <c r="D111" s="46"/>
      <c r="E111" s="26" t="s">
        <v>36</v>
      </c>
      <c r="F111" s="27" t="s">
        <v>37</v>
      </c>
      <c r="G111" s="21"/>
    </row>
    <row r="112" spans="1:7" ht="17.25" thickBot="1" x14ac:dyDescent="0.3">
      <c r="A112" s="46"/>
      <c r="B112" s="24" t="s">
        <v>38</v>
      </c>
      <c r="C112" s="25">
        <v>44225</v>
      </c>
      <c r="D112" s="46"/>
      <c r="E112" s="26" t="s">
        <v>39</v>
      </c>
      <c r="F112" s="27" t="s">
        <v>37</v>
      </c>
      <c r="G112" s="21"/>
    </row>
    <row r="113" spans="1:7" ht="17.25" thickBot="1" x14ac:dyDescent="0.3">
      <c r="A113" s="46"/>
      <c r="B113" s="24" t="s">
        <v>35</v>
      </c>
      <c r="C113" s="28">
        <f>IF(C112="","",IF(AND(MONTH(C112)&gt;=1,MONTH(C112)&lt;=3),1,IF(AND(MONTH(C112)&gt;=4,MONTH(C112)&lt;=6),2,IF(AND(MONTH(C112)&gt;=7,MONTH(C112)&lt;=9),3,4))))</f>
        <v>1</v>
      </c>
      <c r="D113" s="46"/>
      <c r="E113" s="26" t="s">
        <v>40</v>
      </c>
      <c r="F113" s="27"/>
      <c r="G113" s="21"/>
    </row>
    <row r="114" spans="1:7" ht="17.25" thickBot="1" x14ac:dyDescent="0.3">
      <c r="A114" s="21"/>
      <c r="B114" s="21"/>
      <c r="C114" s="21"/>
      <c r="D114" s="21"/>
      <c r="E114" s="21"/>
      <c r="F114" s="21"/>
      <c r="G114" s="21"/>
    </row>
    <row r="115" spans="1:7" ht="17.25" thickBot="1" x14ac:dyDescent="0.3">
      <c r="A115" s="29" t="s">
        <v>41</v>
      </c>
      <c r="B115" s="29" t="s">
        <v>42</v>
      </c>
      <c r="C115" s="29" t="s">
        <v>43</v>
      </c>
      <c r="D115" s="29" t="s">
        <v>44</v>
      </c>
      <c r="E115" s="29" t="s">
        <v>45</v>
      </c>
      <c r="F115" s="29" t="s">
        <v>46</v>
      </c>
      <c r="G115" s="21"/>
    </row>
    <row r="116" spans="1:7" ht="22.5" x14ac:dyDescent="0.25">
      <c r="A116" s="30" t="s">
        <v>77</v>
      </c>
      <c r="B116" s="31" t="str">
        <f ca="1">IFERROR(INDEX(UNSPSCDes,MATCH(INDIRECT(ADDRESS(ROW(),COLUMN()-1,4)),UNSPSCCode,0)),IF(INDIRECT(ADDRESS(ROW(),COLUMN()-1,4))="90101802","Servicios de comidas a domicilio",""))</f>
        <v>Servicios de comidas a domicilio</v>
      </c>
      <c r="C116" s="32" t="str">
        <f>IFERROR(VLOOKUP("UD",'[1]Informacion '!P:Q,2,FALSE),"")</f>
        <v>Unidad</v>
      </c>
      <c r="D116" s="30">
        <v>380</v>
      </c>
      <c r="E116" s="33">
        <v>200</v>
      </c>
      <c r="F116" s="34">
        <f ca="1">INDIRECT(ADDRESS(ROW(),COLUMN()-2,4))*INDIRECT(ADDRESS(ROW(),COLUMN()-1,4))</f>
        <v>76000</v>
      </c>
      <c r="G116" s="21"/>
    </row>
    <row r="117" spans="1:7" ht="16.5" x14ac:dyDescent="0.25">
      <c r="A117" s="21"/>
      <c r="B117" s="21"/>
      <c r="C117" s="21"/>
      <c r="D117" s="21"/>
      <c r="E117" s="35" t="s">
        <v>56</v>
      </c>
      <c r="F117" s="36">
        <f ca="1">SUM(Table10[MONTO TOTAL ESTIMADO])</f>
        <v>76000</v>
      </c>
      <c r="G117" s="21"/>
    </row>
    <row r="118" spans="1:7" ht="17.25" thickBot="1" x14ac:dyDescent="0.3">
      <c r="A118" s="21"/>
      <c r="B118" s="21"/>
      <c r="C118" s="21"/>
      <c r="D118" s="21"/>
      <c r="E118" s="21"/>
      <c r="F118" s="21"/>
      <c r="G118" s="21"/>
    </row>
    <row r="119" spans="1:7" ht="23.25" thickBot="1" x14ac:dyDescent="0.3">
      <c r="A119" s="22" t="s">
        <v>19</v>
      </c>
      <c r="B119" s="22" t="s">
        <v>20</v>
      </c>
      <c r="C119" s="22" t="s">
        <v>21</v>
      </c>
      <c r="D119" s="22" t="s">
        <v>22</v>
      </c>
      <c r="E119" s="22" t="s">
        <v>23</v>
      </c>
      <c r="F119" s="22" t="s">
        <v>24</v>
      </c>
      <c r="G119" s="21"/>
    </row>
    <row r="120" spans="1:7" ht="17.25" thickBot="1" x14ac:dyDescent="0.3">
      <c r="A120" s="23" t="s">
        <v>78</v>
      </c>
      <c r="B120" s="23" t="s">
        <v>78</v>
      </c>
      <c r="C120" s="23" t="s">
        <v>27</v>
      </c>
      <c r="D120" s="23" t="s">
        <v>68</v>
      </c>
      <c r="E120" s="23" t="s">
        <v>29</v>
      </c>
      <c r="F120" s="23"/>
      <c r="G120" s="21"/>
    </row>
    <row r="121" spans="1:7" ht="17.25" thickBot="1" x14ac:dyDescent="0.3">
      <c r="A121" s="45" t="s">
        <v>30</v>
      </c>
      <c r="B121" s="24" t="s">
        <v>31</v>
      </c>
      <c r="C121" s="25">
        <v>44333</v>
      </c>
      <c r="D121" s="45" t="s">
        <v>32</v>
      </c>
      <c r="E121" s="26" t="s">
        <v>33</v>
      </c>
      <c r="F121" s="27" t="s">
        <v>34</v>
      </c>
      <c r="G121" s="21"/>
    </row>
    <row r="122" spans="1:7" ht="17.25" thickBot="1" x14ac:dyDescent="0.3">
      <c r="A122" s="46"/>
      <c r="B122" s="24" t="s">
        <v>35</v>
      </c>
      <c r="C122" s="28">
        <f>IF(C121="","",IF(AND(MONTH(C121)&gt;=1,MONTH(C121)&lt;=3),1,IF(AND(MONTH(C121)&gt;=4,MONTH(C121)&lt;=6),2,IF(AND(MONTH(C121)&gt;=7,MONTH(C121)&lt;=9),3,4))))</f>
        <v>2</v>
      </c>
      <c r="D122" s="46"/>
      <c r="E122" s="26" t="s">
        <v>36</v>
      </c>
      <c r="F122" s="27" t="s">
        <v>37</v>
      </c>
      <c r="G122" s="21"/>
    </row>
    <row r="123" spans="1:7" ht="17.25" thickBot="1" x14ac:dyDescent="0.3">
      <c r="A123" s="46"/>
      <c r="B123" s="24" t="s">
        <v>38</v>
      </c>
      <c r="C123" s="25">
        <v>44344</v>
      </c>
      <c r="D123" s="46"/>
      <c r="E123" s="26" t="s">
        <v>39</v>
      </c>
      <c r="F123" s="27" t="s">
        <v>37</v>
      </c>
      <c r="G123" s="21"/>
    </row>
    <row r="124" spans="1:7" ht="17.25" thickBot="1" x14ac:dyDescent="0.3">
      <c r="A124" s="46"/>
      <c r="B124" s="24" t="s">
        <v>35</v>
      </c>
      <c r="C124" s="28">
        <f>IF(C123="","",IF(AND(MONTH(C123)&gt;=1,MONTH(C123)&lt;=3),1,IF(AND(MONTH(C123)&gt;=4,MONTH(C123)&lt;=6),2,IF(AND(MONTH(C123)&gt;=7,MONTH(C123)&lt;=9),3,4))))</f>
        <v>2</v>
      </c>
      <c r="D124" s="46"/>
      <c r="E124" s="26" t="s">
        <v>40</v>
      </c>
      <c r="F124" s="27"/>
      <c r="G124" s="21"/>
    </row>
    <row r="125" spans="1:7" ht="17.25" thickBot="1" x14ac:dyDescent="0.3">
      <c r="A125" s="21"/>
      <c r="B125" s="21"/>
      <c r="C125" s="21"/>
      <c r="D125" s="21"/>
      <c r="E125" s="21"/>
      <c r="F125" s="21"/>
      <c r="G125" s="21"/>
    </row>
    <row r="126" spans="1:7" ht="17.25" thickBot="1" x14ac:dyDescent="0.3">
      <c r="A126" s="29" t="s">
        <v>41</v>
      </c>
      <c r="B126" s="29" t="s">
        <v>42</v>
      </c>
      <c r="C126" s="29" t="s">
        <v>43</v>
      </c>
      <c r="D126" s="29" t="s">
        <v>44</v>
      </c>
      <c r="E126" s="29" t="s">
        <v>45</v>
      </c>
      <c r="F126" s="29" t="s">
        <v>46</v>
      </c>
      <c r="G126" s="21"/>
    </row>
    <row r="127" spans="1:7" ht="16.5" x14ac:dyDescent="0.25">
      <c r="A127" s="30" t="s">
        <v>79</v>
      </c>
      <c r="B127" s="31" t="str">
        <f ca="1">IFERROR(INDEX(UNSPSCDes,MATCH(INDIRECT(ADDRESS(ROW(),COLUMN()-1,4)),UNSPSCCode,0)),IF(INDIRECT(ADDRESS(ROW(),COLUMN()-1,4))="15101505","Combustible diesel",""))</f>
        <v>Combustible diesel</v>
      </c>
      <c r="C127" s="32" t="str">
        <f>IFERROR(VLOOKUP("GAL",'[1]Informacion '!P:Q,2,FALSE),"")</f>
        <v>Galón</v>
      </c>
      <c r="D127" s="30">
        <v>300</v>
      </c>
      <c r="E127" s="33">
        <v>200</v>
      </c>
      <c r="F127" s="34">
        <f ca="1">INDIRECT(ADDRESS(ROW(),COLUMN()-2,4))*INDIRECT(ADDRESS(ROW(),COLUMN()-1,4))</f>
        <v>60000</v>
      </c>
      <c r="G127" s="21"/>
    </row>
    <row r="128" spans="1:7" ht="16.5" x14ac:dyDescent="0.25">
      <c r="A128" s="21"/>
      <c r="B128" s="21"/>
      <c r="C128" s="21"/>
      <c r="D128" s="21"/>
      <c r="E128" s="35" t="s">
        <v>56</v>
      </c>
      <c r="F128" s="36">
        <f ca="1">SUM(Table11[MONTO TOTAL ESTIMADO])</f>
        <v>60000</v>
      </c>
      <c r="G128" s="21"/>
    </row>
    <row r="129" spans="1:7" ht="17.25" thickBot="1" x14ac:dyDescent="0.3">
      <c r="A129" s="21"/>
      <c r="B129" s="21"/>
      <c r="C129" s="21"/>
      <c r="D129" s="21"/>
      <c r="E129" s="21"/>
      <c r="F129" s="21"/>
      <c r="G129" s="21"/>
    </row>
    <row r="130" spans="1:7" ht="23.25" thickBot="1" x14ac:dyDescent="0.3">
      <c r="A130" s="22" t="s">
        <v>19</v>
      </c>
      <c r="B130" s="37" t="s">
        <v>20</v>
      </c>
      <c r="C130" s="22" t="s">
        <v>21</v>
      </c>
      <c r="D130" s="22" t="s">
        <v>22</v>
      </c>
      <c r="E130" s="22" t="s">
        <v>23</v>
      </c>
      <c r="F130" s="22" t="s">
        <v>24</v>
      </c>
      <c r="G130" s="21"/>
    </row>
    <row r="131" spans="1:7" ht="23.25" thickBot="1" x14ac:dyDescent="0.3">
      <c r="A131" s="23" t="s">
        <v>80</v>
      </c>
      <c r="B131" s="38" t="s">
        <v>81</v>
      </c>
      <c r="C131" s="23" t="s">
        <v>27</v>
      </c>
      <c r="D131" s="23" t="s">
        <v>28</v>
      </c>
      <c r="E131" s="23" t="s">
        <v>29</v>
      </c>
      <c r="F131" s="23"/>
      <c r="G131" s="21"/>
    </row>
    <row r="132" spans="1:7" ht="23.25" thickBot="1" x14ac:dyDescent="0.3">
      <c r="A132" s="45" t="s">
        <v>30</v>
      </c>
      <c r="B132" s="39" t="s">
        <v>31</v>
      </c>
      <c r="C132" s="25">
        <v>44378</v>
      </c>
      <c r="D132" s="45" t="s">
        <v>32</v>
      </c>
      <c r="E132" s="26" t="s">
        <v>33</v>
      </c>
      <c r="F132" s="27" t="s">
        <v>34</v>
      </c>
      <c r="G132" s="21"/>
    </row>
    <row r="133" spans="1:7" ht="17.25" thickBot="1" x14ac:dyDescent="0.3">
      <c r="A133" s="46"/>
      <c r="B133" s="39" t="s">
        <v>35</v>
      </c>
      <c r="C133" s="28">
        <f>IF(C132="","",IF(AND(MONTH(C132)&gt;=1,MONTH(C132)&lt;=3),1,IF(AND(MONTH(C132)&gt;=4,MONTH(C132)&lt;=6),2,IF(AND(MONTH(C132)&gt;=7,MONTH(C132)&lt;=9),3,4))))</f>
        <v>3</v>
      </c>
      <c r="D133" s="46"/>
      <c r="E133" s="26" t="s">
        <v>36</v>
      </c>
      <c r="F133" s="27" t="s">
        <v>37</v>
      </c>
      <c r="G133" s="21"/>
    </row>
    <row r="134" spans="1:7" ht="23.25" thickBot="1" x14ac:dyDescent="0.3">
      <c r="A134" s="46"/>
      <c r="B134" s="39" t="s">
        <v>38</v>
      </c>
      <c r="C134" s="25">
        <v>44393</v>
      </c>
      <c r="D134" s="46"/>
      <c r="E134" s="26" t="s">
        <v>39</v>
      </c>
      <c r="F134" s="27" t="s">
        <v>37</v>
      </c>
      <c r="G134" s="21"/>
    </row>
    <row r="135" spans="1:7" ht="17.25" thickBot="1" x14ac:dyDescent="0.3">
      <c r="A135" s="46"/>
      <c r="B135" s="39" t="s">
        <v>35</v>
      </c>
      <c r="C135" s="28">
        <f>IF(C134="","",IF(AND(MONTH(C134)&gt;=1,MONTH(C134)&lt;=3),1,IF(AND(MONTH(C134)&gt;=4,MONTH(C134)&lt;=6),2,IF(AND(MONTH(C134)&gt;=7,MONTH(C134)&lt;=9),3,4))))</f>
        <v>3</v>
      </c>
      <c r="D135" s="46"/>
      <c r="E135" s="26" t="s">
        <v>40</v>
      </c>
      <c r="F135" s="27"/>
      <c r="G135" s="21"/>
    </row>
    <row r="136" spans="1:7" ht="17.25" thickBot="1" x14ac:dyDescent="0.3">
      <c r="A136" s="21"/>
      <c r="B136" s="21"/>
      <c r="C136" s="21"/>
      <c r="D136" s="21"/>
      <c r="E136" s="21"/>
      <c r="F136" s="21"/>
      <c r="G136" s="21"/>
    </row>
    <row r="137" spans="1:7" ht="17.25" thickBot="1" x14ac:dyDescent="0.3">
      <c r="A137" s="29" t="s">
        <v>41</v>
      </c>
      <c r="B137" s="29" t="s">
        <v>42</v>
      </c>
      <c r="C137" s="29" t="s">
        <v>43</v>
      </c>
      <c r="D137" s="29" t="s">
        <v>44</v>
      </c>
      <c r="E137" s="29" t="s">
        <v>45</v>
      </c>
      <c r="F137" s="29" t="s">
        <v>46</v>
      </c>
      <c r="G137" s="21"/>
    </row>
    <row r="138" spans="1:7" ht="22.5" x14ac:dyDescent="0.25">
      <c r="A138" s="30" t="s">
        <v>82</v>
      </c>
      <c r="B138" s="31" t="str">
        <f ca="1">IFERROR(INDEX(UNSPSCDes,MATCH(INDIRECT(ADDRESS(ROW(),COLUMN()-1,4)),UNSPSCCode,0)),IF(INDIRECT(ADDRESS(ROW(),COLUMN()-1,4))="14111608","Certificados de regalo",""))</f>
        <v>Certificados de regalo</v>
      </c>
      <c r="C138" s="32" t="str">
        <f>IFERROR(VLOOKUP("UD",'[1]Informacion '!P:Q,2,FALSE),"")</f>
        <v>Unidad</v>
      </c>
      <c r="D138" s="30">
        <v>1</v>
      </c>
      <c r="E138" s="33">
        <v>2645000</v>
      </c>
      <c r="F138" s="34">
        <f ca="1">INDIRECT(ADDRESS(ROW(),COLUMN()-2,4))*INDIRECT(ADDRESS(ROW(),COLUMN()-1,4))</f>
        <v>2645000</v>
      </c>
      <c r="G138" s="21"/>
    </row>
    <row r="139" spans="1:7" ht="16.5" x14ac:dyDescent="0.25">
      <c r="A139" s="21"/>
      <c r="B139" s="21"/>
      <c r="C139" s="21"/>
      <c r="D139" s="21"/>
      <c r="E139" s="35" t="s">
        <v>56</v>
      </c>
      <c r="F139" s="36">
        <f ca="1">SUM(Table12[MONTO TOTAL ESTIMADO])</f>
        <v>2645000</v>
      </c>
      <c r="G139" s="21"/>
    </row>
    <row r="140" spans="1:7" ht="17.25" thickBot="1" x14ac:dyDescent="0.3">
      <c r="A140" s="21"/>
      <c r="B140" s="21"/>
      <c r="C140" s="21"/>
      <c r="D140" s="21"/>
      <c r="E140" s="21"/>
      <c r="F140" s="21"/>
      <c r="G140" s="21"/>
    </row>
    <row r="141" spans="1:7" ht="23.25" thickBot="1" x14ac:dyDescent="0.3">
      <c r="A141" s="22" t="s">
        <v>19</v>
      </c>
      <c r="B141" s="22" t="s">
        <v>20</v>
      </c>
      <c r="C141" s="22" t="s">
        <v>21</v>
      </c>
      <c r="D141" s="22" t="s">
        <v>22</v>
      </c>
      <c r="E141" s="22" t="s">
        <v>23</v>
      </c>
      <c r="F141" s="22" t="s">
        <v>24</v>
      </c>
      <c r="G141" s="21"/>
    </row>
    <row r="142" spans="1:7" ht="17.25" thickBot="1" x14ac:dyDescent="0.3">
      <c r="A142" s="23" t="s">
        <v>80</v>
      </c>
      <c r="B142" s="23" t="s">
        <v>83</v>
      </c>
      <c r="C142" s="23" t="s">
        <v>27</v>
      </c>
      <c r="D142" s="23" t="s">
        <v>28</v>
      </c>
      <c r="E142" s="23" t="s">
        <v>29</v>
      </c>
      <c r="F142" s="23"/>
      <c r="G142" s="21"/>
    </row>
    <row r="143" spans="1:7" ht="17.25" thickBot="1" x14ac:dyDescent="0.3">
      <c r="A143" s="45" t="s">
        <v>30</v>
      </c>
      <c r="B143" s="24" t="s">
        <v>31</v>
      </c>
      <c r="C143" s="25">
        <v>44473</v>
      </c>
      <c r="D143" s="45" t="s">
        <v>32</v>
      </c>
      <c r="E143" s="26" t="s">
        <v>33</v>
      </c>
      <c r="F143" s="27" t="s">
        <v>34</v>
      </c>
      <c r="G143" s="21"/>
    </row>
    <row r="144" spans="1:7" ht="17.25" thickBot="1" x14ac:dyDescent="0.3">
      <c r="A144" s="46"/>
      <c r="B144" s="24" t="s">
        <v>35</v>
      </c>
      <c r="C144" s="28">
        <f>IF(C143="","",IF(AND(MONTH(C143)&gt;=1,MONTH(C143)&lt;=3),1,IF(AND(MONTH(C143)&gt;=4,MONTH(C143)&lt;=6),2,IF(AND(MONTH(C143)&gt;=7,MONTH(C143)&lt;=9),3,4))))</f>
        <v>4</v>
      </c>
      <c r="D144" s="46"/>
      <c r="E144" s="26" t="s">
        <v>36</v>
      </c>
      <c r="F144" s="27" t="s">
        <v>37</v>
      </c>
      <c r="G144" s="21"/>
    </row>
    <row r="145" spans="1:7" ht="17.25" thickBot="1" x14ac:dyDescent="0.3">
      <c r="A145" s="46"/>
      <c r="B145" s="24" t="s">
        <v>38</v>
      </c>
      <c r="C145" s="25">
        <v>44491</v>
      </c>
      <c r="D145" s="46"/>
      <c r="E145" s="26" t="s">
        <v>39</v>
      </c>
      <c r="F145" s="27" t="s">
        <v>37</v>
      </c>
      <c r="G145" s="21"/>
    </row>
    <row r="146" spans="1:7" ht="17.25" thickBot="1" x14ac:dyDescent="0.3">
      <c r="A146" s="46"/>
      <c r="B146" s="24" t="s">
        <v>35</v>
      </c>
      <c r="C146" s="28">
        <f>IF(C145="","",IF(AND(MONTH(C145)&gt;=1,MONTH(C145)&lt;=3),1,IF(AND(MONTH(C145)&gt;=4,MONTH(C145)&lt;=6),2,IF(AND(MONTH(C145)&gt;=7,MONTH(C145)&lt;=9),3,4))))</f>
        <v>4</v>
      </c>
      <c r="D146" s="46"/>
      <c r="E146" s="26" t="s">
        <v>40</v>
      </c>
      <c r="F146" s="27"/>
      <c r="G146" s="21"/>
    </row>
    <row r="147" spans="1:7" ht="17.25" thickBot="1" x14ac:dyDescent="0.3">
      <c r="A147" s="21"/>
      <c r="B147" s="21"/>
      <c r="C147" s="21"/>
      <c r="D147" s="21"/>
      <c r="E147" s="21"/>
      <c r="F147" s="21"/>
      <c r="G147" s="21"/>
    </row>
    <row r="148" spans="1:7" ht="17.25" thickBot="1" x14ac:dyDescent="0.3">
      <c r="A148" s="29" t="s">
        <v>41</v>
      </c>
      <c r="B148" s="29" t="s">
        <v>42</v>
      </c>
      <c r="C148" s="29" t="s">
        <v>43</v>
      </c>
      <c r="D148" s="29" t="s">
        <v>44</v>
      </c>
      <c r="E148" s="29" t="s">
        <v>45</v>
      </c>
      <c r="F148" s="29" t="s">
        <v>46</v>
      </c>
      <c r="G148" s="21"/>
    </row>
    <row r="149" spans="1:7" ht="22.5" x14ac:dyDescent="0.25">
      <c r="A149" s="30" t="s">
        <v>82</v>
      </c>
      <c r="B149" s="31" t="str">
        <f ca="1">IFERROR(INDEX(UNSPSCDes,MATCH(INDIRECT(ADDRESS(ROW(),COLUMN()-1,4)),UNSPSCCode,0)),IF(INDIRECT(ADDRESS(ROW(),COLUMN()-1,4))="14111608","Certificados de regalo",""))</f>
        <v>Certificados de regalo</v>
      </c>
      <c r="C149" s="32" t="str">
        <f>IFERROR(VLOOKUP("UD",'[1]Informacion '!P:Q,2,FALSE),"")</f>
        <v>Unidad</v>
      </c>
      <c r="D149" s="30">
        <v>1</v>
      </c>
      <c r="E149" s="33">
        <v>4347000</v>
      </c>
      <c r="F149" s="34">
        <f ca="1">INDIRECT(ADDRESS(ROW(),COLUMN()-2,4))*INDIRECT(ADDRESS(ROW(),COLUMN()-1,4))</f>
        <v>4347000</v>
      </c>
      <c r="G149" s="21"/>
    </row>
    <row r="150" spans="1:7" ht="16.5" x14ac:dyDescent="0.25">
      <c r="A150" s="21"/>
      <c r="B150" s="21"/>
      <c r="C150" s="21"/>
      <c r="D150" s="21"/>
      <c r="E150" s="35" t="s">
        <v>56</v>
      </c>
      <c r="F150" s="36">
        <f ca="1">SUM(Table13[MONTO TOTAL ESTIMADO])</f>
        <v>4347000</v>
      </c>
      <c r="G150" s="21"/>
    </row>
    <row r="151" spans="1:7" ht="17.25" thickBot="1" x14ac:dyDescent="0.3">
      <c r="A151" s="21"/>
      <c r="B151" s="21"/>
      <c r="C151" s="21"/>
      <c r="D151" s="21"/>
      <c r="E151" s="21"/>
      <c r="F151" s="21"/>
      <c r="G151" s="21"/>
    </row>
    <row r="152" spans="1:7" ht="23.25" thickBot="1" x14ac:dyDescent="0.3">
      <c r="A152" s="22" t="s">
        <v>19</v>
      </c>
      <c r="B152" s="22" t="s">
        <v>20</v>
      </c>
      <c r="C152" s="22" t="s">
        <v>21</v>
      </c>
      <c r="D152" s="22" t="s">
        <v>22</v>
      </c>
      <c r="E152" s="22" t="s">
        <v>23</v>
      </c>
      <c r="F152" s="22" t="s">
        <v>24</v>
      </c>
      <c r="G152" s="21"/>
    </row>
    <row r="153" spans="1:7" ht="17.25" thickBot="1" x14ac:dyDescent="0.3">
      <c r="A153" s="23" t="s">
        <v>84</v>
      </c>
      <c r="B153" s="23" t="s">
        <v>84</v>
      </c>
      <c r="C153" s="23" t="s">
        <v>64</v>
      </c>
      <c r="D153" s="23" t="s">
        <v>68</v>
      </c>
      <c r="E153" s="23" t="s">
        <v>29</v>
      </c>
      <c r="F153" s="23"/>
      <c r="G153" s="21"/>
    </row>
    <row r="154" spans="1:7" ht="17.25" thickBot="1" x14ac:dyDescent="0.3">
      <c r="A154" s="45" t="s">
        <v>30</v>
      </c>
      <c r="B154" s="24" t="s">
        <v>31</v>
      </c>
      <c r="C154" s="25">
        <v>44378</v>
      </c>
      <c r="D154" s="45" t="s">
        <v>32</v>
      </c>
      <c r="E154" s="26" t="s">
        <v>33</v>
      </c>
      <c r="F154" s="27" t="s">
        <v>34</v>
      </c>
      <c r="G154" s="21"/>
    </row>
    <row r="155" spans="1:7" ht="17.25" thickBot="1" x14ac:dyDescent="0.3">
      <c r="A155" s="46"/>
      <c r="B155" s="24" t="s">
        <v>35</v>
      </c>
      <c r="C155" s="28">
        <f>IF(C154="","",IF(AND(MONTH(C154)&gt;=1,MONTH(C154)&lt;=3),1,IF(AND(MONTH(C154)&gt;=4,MONTH(C154)&lt;=6),2,IF(AND(MONTH(C154)&gt;=7,MONTH(C154)&lt;=9),3,4))))</f>
        <v>3</v>
      </c>
      <c r="D155" s="46"/>
      <c r="E155" s="26" t="s">
        <v>36</v>
      </c>
      <c r="F155" s="27" t="s">
        <v>37</v>
      </c>
      <c r="G155" s="21"/>
    </row>
    <row r="156" spans="1:7" ht="17.25" thickBot="1" x14ac:dyDescent="0.3">
      <c r="A156" s="46"/>
      <c r="B156" s="24" t="s">
        <v>38</v>
      </c>
      <c r="C156" s="25">
        <v>44386</v>
      </c>
      <c r="D156" s="46"/>
      <c r="E156" s="26" t="s">
        <v>39</v>
      </c>
      <c r="F156" s="27" t="s">
        <v>37</v>
      </c>
      <c r="G156" s="21"/>
    </row>
    <row r="157" spans="1:7" ht="17.25" thickBot="1" x14ac:dyDescent="0.3">
      <c r="A157" s="46"/>
      <c r="B157" s="24" t="s">
        <v>35</v>
      </c>
      <c r="C157" s="28">
        <f>IF(C156="","",IF(AND(MONTH(C156)&gt;=1,MONTH(C156)&lt;=3),1,IF(AND(MONTH(C156)&gt;=4,MONTH(C156)&lt;=6),2,IF(AND(MONTH(C156)&gt;=7,MONTH(C156)&lt;=9),3,4))))</f>
        <v>3</v>
      </c>
      <c r="D157" s="46"/>
      <c r="E157" s="26" t="s">
        <v>40</v>
      </c>
      <c r="F157" s="27"/>
      <c r="G157" s="21"/>
    </row>
    <row r="158" spans="1:7" ht="17.25" thickBot="1" x14ac:dyDescent="0.3">
      <c r="A158" s="21"/>
      <c r="B158" s="21"/>
      <c r="C158" s="21"/>
      <c r="D158" s="21"/>
      <c r="E158" s="21"/>
      <c r="F158" s="21"/>
      <c r="G158" s="21"/>
    </row>
    <row r="159" spans="1:7" ht="17.25" thickBot="1" x14ac:dyDescent="0.3">
      <c r="A159" s="29" t="s">
        <v>41</v>
      </c>
      <c r="B159" s="29" t="s">
        <v>42</v>
      </c>
      <c r="C159" s="29" t="s">
        <v>43</v>
      </c>
      <c r="D159" s="29" t="s">
        <v>44</v>
      </c>
      <c r="E159" s="29" t="s">
        <v>45</v>
      </c>
      <c r="F159" s="29" t="s">
        <v>46</v>
      </c>
      <c r="G159" s="21"/>
    </row>
    <row r="160" spans="1:7" ht="16.5" x14ac:dyDescent="0.25">
      <c r="A160" s="30" t="s">
        <v>85</v>
      </c>
      <c r="B160" s="31" t="str">
        <f ca="1">IFERROR(INDEX(UNSPSCDes,MATCH(INDIRECT(ADDRESS(ROW(),COLUMN()-1,4)),UNSPSCCode,0)),IF(INDIRECT(ADDRESS(ROW(),COLUMN()-1,4))="80141902","Reuniones y eventos",""))</f>
        <v>Reuniones y eventos</v>
      </c>
      <c r="C160" s="32" t="str">
        <f>IFERROR(VLOOKUP("UD",'[1]Informacion '!P:Q,2,FALSE),"")</f>
        <v>Unidad</v>
      </c>
      <c r="D160" s="30">
        <v>1</v>
      </c>
      <c r="E160" s="33">
        <v>50000</v>
      </c>
      <c r="F160" s="34">
        <f ca="1">INDIRECT(ADDRESS(ROW(),COLUMN()-2,4))*INDIRECT(ADDRESS(ROW(),COLUMN()-1,4))</f>
        <v>50000</v>
      </c>
      <c r="G160" s="21"/>
    </row>
    <row r="161" spans="1:7" ht="16.5" x14ac:dyDescent="0.25">
      <c r="A161" s="21"/>
      <c r="B161" s="21"/>
      <c r="C161" s="21"/>
      <c r="D161" s="21"/>
      <c r="E161" s="35" t="s">
        <v>56</v>
      </c>
      <c r="F161" s="36">
        <f ca="1">SUM(Table14[MONTO TOTAL ESTIMADO])</f>
        <v>50000</v>
      </c>
      <c r="G161" s="21"/>
    </row>
    <row r="162" spans="1:7" ht="17.25" thickBot="1" x14ac:dyDescent="0.3">
      <c r="A162" s="21"/>
      <c r="B162" s="21"/>
      <c r="C162" s="21"/>
      <c r="D162" s="21"/>
      <c r="E162" s="21"/>
      <c r="F162" s="21"/>
      <c r="G162" s="21"/>
    </row>
    <row r="163" spans="1:7" ht="23.25" thickBot="1" x14ac:dyDescent="0.3">
      <c r="A163" s="22" t="s">
        <v>19</v>
      </c>
      <c r="B163" s="22" t="s">
        <v>20</v>
      </c>
      <c r="C163" s="22" t="s">
        <v>21</v>
      </c>
      <c r="D163" s="22" t="s">
        <v>22</v>
      </c>
      <c r="E163" s="22" t="s">
        <v>23</v>
      </c>
      <c r="F163" s="22" t="s">
        <v>24</v>
      </c>
      <c r="G163" s="21"/>
    </row>
    <row r="164" spans="1:7" ht="17.25" thickBot="1" x14ac:dyDescent="0.3">
      <c r="A164" s="23" t="s">
        <v>86</v>
      </c>
      <c r="B164" s="23" t="s">
        <v>87</v>
      </c>
      <c r="C164" s="23" t="s">
        <v>88</v>
      </c>
      <c r="D164" s="23" t="s">
        <v>28</v>
      </c>
      <c r="E164" s="23" t="s">
        <v>29</v>
      </c>
      <c r="F164" s="23"/>
      <c r="G164" s="21"/>
    </row>
    <row r="165" spans="1:7" ht="17.25" thickBot="1" x14ac:dyDescent="0.3">
      <c r="A165" s="45" t="s">
        <v>30</v>
      </c>
      <c r="B165" s="24" t="s">
        <v>31</v>
      </c>
      <c r="C165" s="25">
        <v>44390</v>
      </c>
      <c r="D165" s="45" t="s">
        <v>32</v>
      </c>
      <c r="E165" s="26" t="s">
        <v>33</v>
      </c>
      <c r="F165" s="27" t="s">
        <v>34</v>
      </c>
      <c r="G165" s="21"/>
    </row>
    <row r="166" spans="1:7" ht="17.25" thickBot="1" x14ac:dyDescent="0.3">
      <c r="A166" s="46"/>
      <c r="B166" s="24" t="s">
        <v>35</v>
      </c>
      <c r="C166" s="28">
        <f>IF(C165="","",IF(AND(MONTH(C165)&gt;=1,MONTH(C165)&lt;=3),1,IF(AND(MONTH(C165)&gt;=4,MONTH(C165)&lt;=6),2,IF(AND(MONTH(C165)&gt;=7,MONTH(C165)&lt;=9),3,4))))</f>
        <v>3</v>
      </c>
      <c r="D166" s="46"/>
      <c r="E166" s="26" t="s">
        <v>36</v>
      </c>
      <c r="F166" s="27" t="s">
        <v>37</v>
      </c>
      <c r="G166" s="21"/>
    </row>
    <row r="167" spans="1:7" ht="17.25" thickBot="1" x14ac:dyDescent="0.3">
      <c r="A167" s="46"/>
      <c r="B167" s="24" t="s">
        <v>38</v>
      </c>
      <c r="C167" s="25">
        <v>44404</v>
      </c>
      <c r="D167" s="46"/>
      <c r="E167" s="26" t="s">
        <v>39</v>
      </c>
      <c r="F167" s="27" t="s">
        <v>37</v>
      </c>
      <c r="G167" s="21"/>
    </row>
    <row r="168" spans="1:7" ht="17.25" thickBot="1" x14ac:dyDescent="0.3">
      <c r="A168" s="46"/>
      <c r="B168" s="24" t="s">
        <v>35</v>
      </c>
      <c r="C168" s="28">
        <f>IF(C167="","",IF(AND(MONTH(C167)&gt;=1,MONTH(C167)&lt;=3),1,IF(AND(MONTH(C167)&gt;=4,MONTH(C167)&lt;=6),2,IF(AND(MONTH(C167)&gt;=7,MONTH(C167)&lt;=9),3,4))))</f>
        <v>3</v>
      </c>
      <c r="D168" s="46"/>
      <c r="E168" s="26" t="s">
        <v>40</v>
      </c>
      <c r="F168" s="27"/>
      <c r="G168" s="21"/>
    </row>
    <row r="169" spans="1:7" ht="17.25" thickBot="1" x14ac:dyDescent="0.3">
      <c r="A169" s="21"/>
      <c r="B169" s="21"/>
      <c r="C169" s="21"/>
      <c r="D169" s="21"/>
      <c r="E169" s="21"/>
      <c r="F169" s="21"/>
      <c r="G169" s="21"/>
    </row>
    <row r="170" spans="1:7" ht="17.25" thickBot="1" x14ac:dyDescent="0.3">
      <c r="A170" s="29" t="s">
        <v>41</v>
      </c>
      <c r="B170" s="29" t="s">
        <v>42</v>
      </c>
      <c r="C170" s="29" t="s">
        <v>43</v>
      </c>
      <c r="D170" s="29" t="s">
        <v>44</v>
      </c>
      <c r="E170" s="29" t="s">
        <v>45</v>
      </c>
      <c r="F170" s="29" t="s">
        <v>46</v>
      </c>
      <c r="G170" s="21"/>
    </row>
    <row r="171" spans="1:7" ht="33.75" x14ac:dyDescent="0.25">
      <c r="A171" s="30" t="s">
        <v>89</v>
      </c>
      <c r="B171" s="31" t="str">
        <f ca="1">IFERROR(INDEX(UNSPSCDes,MATCH(INDIRECT(ADDRESS(ROW(),COLUMN()-1,4)),UNSPSCCode,0)),IF(INDIRECT(ADDRESS(ROW(),COLUMN()-1,4))="72101507","Servicio de mantenimiento de edificios",""))</f>
        <v>Servicio de mantenimiento de edificios</v>
      </c>
      <c r="C171" s="32" t="str">
        <f>IFERROR(VLOOKUP("UD",'[1]Informacion '!P:Q,2,FALSE),"")</f>
        <v>Unidad</v>
      </c>
      <c r="D171" s="30">
        <v>1</v>
      </c>
      <c r="E171" s="33">
        <v>434000</v>
      </c>
      <c r="F171" s="34">
        <f ca="1">INDIRECT(ADDRESS(ROW(),COLUMN()-2,4))*INDIRECT(ADDRESS(ROW(),COLUMN()-1,4))</f>
        <v>434000</v>
      </c>
      <c r="G171" s="21"/>
    </row>
    <row r="172" spans="1:7" ht="33.75" x14ac:dyDescent="0.25">
      <c r="A172" s="30" t="s">
        <v>89</v>
      </c>
      <c r="B172" s="31" t="str">
        <f ca="1">IFERROR(INDEX(UNSPSCDes,MATCH(INDIRECT(ADDRESS(ROW(),COLUMN()-1,4)),UNSPSCCode,0)),IF(INDIRECT(ADDRESS(ROW(),COLUMN()-1,4))="72101507","Servicio de mantenimiento de edificios",""))</f>
        <v>Servicio de mantenimiento de edificios</v>
      </c>
      <c r="C172" s="32" t="str">
        <f>IFERROR(VLOOKUP("UD",'[1]Informacion '!P:Q,2,FALSE),"")</f>
        <v>Unidad</v>
      </c>
      <c r="D172" s="30">
        <v>1</v>
      </c>
      <c r="E172" s="33">
        <v>509000</v>
      </c>
      <c r="F172" s="34">
        <f ca="1">INDIRECT(ADDRESS(ROW(),COLUMN()-2,4))*INDIRECT(ADDRESS(ROW(),COLUMN()-1,4))</f>
        <v>509000</v>
      </c>
      <c r="G172" s="21"/>
    </row>
    <row r="173" spans="1:7" ht="33.75" x14ac:dyDescent="0.25">
      <c r="A173" s="30" t="s">
        <v>89</v>
      </c>
      <c r="B173" s="31" t="str">
        <f ca="1">IFERROR(INDEX(UNSPSCDes,MATCH(INDIRECT(ADDRESS(ROW(),COLUMN()-1,4)),UNSPSCCode,0)),IF(INDIRECT(ADDRESS(ROW(),COLUMN()-1,4))="72101507","Servicio de mantenimiento de edificios",""))</f>
        <v>Servicio de mantenimiento de edificios</v>
      </c>
      <c r="C173" s="32" t="str">
        <f>IFERROR(VLOOKUP("UD",'[1]Informacion '!P:Q,2,FALSE),"")</f>
        <v>Unidad</v>
      </c>
      <c r="D173" s="30">
        <v>1</v>
      </c>
      <c r="E173" s="33">
        <v>460000</v>
      </c>
      <c r="F173" s="34">
        <f ca="1">INDIRECT(ADDRESS(ROW(),COLUMN()-2,4))*INDIRECT(ADDRESS(ROW(),COLUMN()-1,4))</f>
        <v>460000</v>
      </c>
      <c r="G173" s="21"/>
    </row>
    <row r="174" spans="1:7" ht="33.75" x14ac:dyDescent="0.25">
      <c r="A174" s="30" t="s">
        <v>89</v>
      </c>
      <c r="B174" s="31" t="str">
        <f ca="1">IFERROR(INDEX(UNSPSCDes,MATCH(INDIRECT(ADDRESS(ROW(),COLUMN()-1,4)),UNSPSCCode,0)),IF(INDIRECT(ADDRESS(ROW(),COLUMN()-1,4))="72101507","Servicio de mantenimiento de edificios",""))</f>
        <v>Servicio de mantenimiento de edificios</v>
      </c>
      <c r="C174" s="32" t="str">
        <f>IFERROR(VLOOKUP("UD",'[1]Informacion '!P:Q,2,FALSE),"")</f>
        <v>Unidad</v>
      </c>
      <c r="D174" s="30">
        <v>1</v>
      </c>
      <c r="E174" s="33">
        <v>227000</v>
      </c>
      <c r="F174" s="34">
        <f ca="1">INDIRECT(ADDRESS(ROW(),COLUMN()-2,4))*INDIRECT(ADDRESS(ROW(),COLUMN()-1,4))</f>
        <v>227000</v>
      </c>
      <c r="G174" s="21"/>
    </row>
    <row r="175" spans="1:7" ht="33.75" x14ac:dyDescent="0.25">
      <c r="A175" s="30" t="s">
        <v>89</v>
      </c>
      <c r="B175" s="31" t="str">
        <f ca="1">IFERROR(INDEX(UNSPSCDes,MATCH(INDIRECT(ADDRESS(ROW(),COLUMN()-1,4)),UNSPSCCode,0)),IF(INDIRECT(ADDRESS(ROW(),COLUMN()-1,4))="72101507","Servicio de mantenimiento de edificios",""))</f>
        <v>Servicio de mantenimiento de edificios</v>
      </c>
      <c r="C175" s="32" t="str">
        <f>IFERROR(VLOOKUP("UD",'[1]Informacion '!P:Q,2,FALSE),"")</f>
        <v>Unidad</v>
      </c>
      <c r="D175" s="30">
        <v>1</v>
      </c>
      <c r="E175" s="33">
        <v>363000</v>
      </c>
      <c r="F175" s="34">
        <f ca="1">INDIRECT(ADDRESS(ROW(),COLUMN()-2,4))*INDIRECT(ADDRESS(ROW(),COLUMN()-1,4))</f>
        <v>363000</v>
      </c>
      <c r="G175" s="21"/>
    </row>
    <row r="176" spans="1:7" ht="16.5" x14ac:dyDescent="0.25">
      <c r="A176" s="21"/>
      <c r="B176" s="21"/>
      <c r="C176" s="21"/>
      <c r="D176" s="21"/>
      <c r="E176" s="35" t="s">
        <v>56</v>
      </c>
      <c r="F176" s="36">
        <f ca="1">SUM(Table15[MONTO TOTAL ESTIMADO])</f>
        <v>1993000</v>
      </c>
      <c r="G176" s="21"/>
    </row>
    <row r="177" spans="1:7" ht="17.25" thickBot="1" x14ac:dyDescent="0.3">
      <c r="A177" s="21"/>
      <c r="B177" s="21"/>
      <c r="C177" s="21"/>
      <c r="D177" s="21"/>
      <c r="E177" s="21"/>
      <c r="F177" s="21"/>
      <c r="G177" s="21"/>
    </row>
    <row r="178" spans="1:7" ht="23.25" thickBot="1" x14ac:dyDescent="0.3">
      <c r="A178" s="22" t="s">
        <v>19</v>
      </c>
      <c r="B178" s="22" t="s">
        <v>20</v>
      </c>
      <c r="C178" s="22" t="s">
        <v>21</v>
      </c>
      <c r="D178" s="22" t="s">
        <v>22</v>
      </c>
      <c r="E178" s="22" t="s">
        <v>23</v>
      </c>
      <c r="F178" s="22" t="s">
        <v>24</v>
      </c>
      <c r="G178" s="21"/>
    </row>
    <row r="179" spans="1:7" ht="17.25" thickBot="1" x14ac:dyDescent="0.3">
      <c r="A179" s="23" t="s">
        <v>90</v>
      </c>
      <c r="B179" s="23" t="s">
        <v>90</v>
      </c>
      <c r="C179" s="23" t="s">
        <v>64</v>
      </c>
      <c r="D179" s="23" t="s">
        <v>58</v>
      </c>
      <c r="E179" s="23" t="s">
        <v>29</v>
      </c>
      <c r="F179" s="23"/>
      <c r="G179" s="21"/>
    </row>
    <row r="180" spans="1:7" ht="17.25" thickBot="1" x14ac:dyDescent="0.3">
      <c r="A180" s="45" t="s">
        <v>30</v>
      </c>
      <c r="B180" s="24" t="s">
        <v>31</v>
      </c>
      <c r="C180" s="25">
        <v>44320</v>
      </c>
      <c r="D180" s="45" t="s">
        <v>32</v>
      </c>
      <c r="E180" s="26" t="s">
        <v>33</v>
      </c>
      <c r="F180" s="27" t="s">
        <v>34</v>
      </c>
      <c r="G180" s="21"/>
    </row>
    <row r="181" spans="1:7" ht="17.25" thickBot="1" x14ac:dyDescent="0.3">
      <c r="A181" s="46"/>
      <c r="B181" s="24" t="s">
        <v>35</v>
      </c>
      <c r="C181" s="28">
        <f>IF(C180="","",IF(AND(MONTH(C180)&gt;=1,MONTH(C180)&lt;=3),1,IF(AND(MONTH(C180)&gt;=4,MONTH(C180)&lt;=6),2,IF(AND(MONTH(C180)&gt;=7,MONTH(C180)&lt;=9),3,4))))</f>
        <v>2</v>
      </c>
      <c r="D181" s="46"/>
      <c r="E181" s="26" t="s">
        <v>36</v>
      </c>
      <c r="F181" s="27" t="s">
        <v>37</v>
      </c>
      <c r="G181" s="21"/>
    </row>
    <row r="182" spans="1:7" ht="17.25" thickBot="1" x14ac:dyDescent="0.3">
      <c r="A182" s="46"/>
      <c r="B182" s="24" t="s">
        <v>38</v>
      </c>
      <c r="C182" s="25">
        <v>44330</v>
      </c>
      <c r="D182" s="46"/>
      <c r="E182" s="26" t="s">
        <v>39</v>
      </c>
      <c r="F182" s="27" t="s">
        <v>37</v>
      </c>
      <c r="G182" s="21"/>
    </row>
    <row r="183" spans="1:7" ht="17.25" thickBot="1" x14ac:dyDescent="0.3">
      <c r="A183" s="46"/>
      <c r="B183" s="24" t="s">
        <v>35</v>
      </c>
      <c r="C183" s="28">
        <f>IF(C182="","",IF(AND(MONTH(C182)&gt;=1,MONTH(C182)&lt;=3),1,IF(AND(MONTH(C182)&gt;=4,MONTH(C182)&lt;=6),2,IF(AND(MONTH(C182)&gt;=7,MONTH(C182)&lt;=9),3,4))))</f>
        <v>2</v>
      </c>
      <c r="D183" s="46"/>
      <c r="E183" s="26" t="s">
        <v>40</v>
      </c>
      <c r="F183" s="27"/>
      <c r="G183" s="21"/>
    </row>
    <row r="184" spans="1:7" ht="17.25" thickBot="1" x14ac:dyDescent="0.3">
      <c r="A184" s="21"/>
      <c r="B184" s="21"/>
      <c r="C184" s="21"/>
      <c r="D184" s="21"/>
      <c r="E184" s="21"/>
      <c r="F184" s="21"/>
      <c r="G184" s="21"/>
    </row>
    <row r="185" spans="1:7" ht="17.25" thickBot="1" x14ac:dyDescent="0.3">
      <c r="A185" s="29" t="s">
        <v>41</v>
      </c>
      <c r="B185" s="29" t="s">
        <v>42</v>
      </c>
      <c r="C185" s="29" t="s">
        <v>43</v>
      </c>
      <c r="D185" s="29" t="s">
        <v>44</v>
      </c>
      <c r="E185" s="29" t="s">
        <v>45</v>
      </c>
      <c r="F185" s="29" t="s">
        <v>46</v>
      </c>
      <c r="G185" s="21"/>
    </row>
    <row r="186" spans="1:7" ht="45" x14ac:dyDescent="0.25">
      <c r="A186" s="30" t="s">
        <v>91</v>
      </c>
      <c r="B186" s="31" t="str">
        <f ca="1">IFERROR(INDEX(UNSPSCDes,MATCH(INDIRECT(ADDRESS(ROW(),COLUMN()-1,4)),UNSPSCCode,0)),IF(INDIRECT(ADDRESS(ROW(),COLUMN()-1,4))="81111805","Mantenimiento o soporte de sistemas patentados o autorizados",""))</f>
        <v>Mantenimiento o soporte de sistemas patentados o autorizados</v>
      </c>
      <c r="C186" s="32" t="str">
        <f>IFERROR(VLOOKUP("UD",'[1]Informacion '!P:Q,2,FALSE),"")</f>
        <v>Unidad</v>
      </c>
      <c r="D186" s="30">
        <v>12</v>
      </c>
      <c r="E186" s="33">
        <v>37500</v>
      </c>
      <c r="F186" s="34">
        <f ca="1">INDIRECT(ADDRESS(ROW(),COLUMN()-2,4))*INDIRECT(ADDRESS(ROW(),COLUMN()-1,4))</f>
        <v>450000</v>
      </c>
      <c r="G186" s="21"/>
    </row>
    <row r="187" spans="1:7" ht="16.5" x14ac:dyDescent="0.25">
      <c r="A187" s="21"/>
      <c r="B187" s="21"/>
      <c r="C187" s="21"/>
      <c r="D187" s="21"/>
      <c r="E187" s="35" t="s">
        <v>56</v>
      </c>
      <c r="F187" s="36">
        <f ca="1">SUM(Table16[MONTO TOTAL ESTIMADO])</f>
        <v>450000</v>
      </c>
      <c r="G187" s="21"/>
    </row>
    <row r="188" spans="1:7" ht="17.25" thickBot="1" x14ac:dyDescent="0.3">
      <c r="A188" s="21"/>
      <c r="B188" s="21"/>
      <c r="C188" s="21"/>
      <c r="D188" s="21"/>
      <c r="E188" s="21"/>
      <c r="F188" s="21"/>
      <c r="G188" s="21"/>
    </row>
    <row r="189" spans="1:7" ht="23.25" thickBot="1" x14ac:dyDescent="0.3">
      <c r="A189" s="22" t="s">
        <v>19</v>
      </c>
      <c r="B189" s="22" t="s">
        <v>20</v>
      </c>
      <c r="C189" s="22" t="s">
        <v>21</v>
      </c>
      <c r="D189" s="22" t="s">
        <v>22</v>
      </c>
      <c r="E189" s="22" t="s">
        <v>23</v>
      </c>
      <c r="F189" s="22" t="s">
        <v>24</v>
      </c>
      <c r="G189" s="21"/>
    </row>
    <row r="190" spans="1:7" ht="17.25" thickBot="1" x14ac:dyDescent="0.3">
      <c r="A190" s="23" t="s">
        <v>92</v>
      </c>
      <c r="B190" s="23" t="s">
        <v>92</v>
      </c>
      <c r="C190" s="23" t="s">
        <v>64</v>
      </c>
      <c r="D190" s="23" t="s">
        <v>58</v>
      </c>
      <c r="E190" s="23" t="s">
        <v>29</v>
      </c>
      <c r="F190" s="23"/>
      <c r="G190" s="21"/>
    </row>
    <row r="191" spans="1:7" ht="17.25" thickBot="1" x14ac:dyDescent="0.3">
      <c r="A191" s="45" t="s">
        <v>30</v>
      </c>
      <c r="B191" s="24" t="s">
        <v>31</v>
      </c>
      <c r="C191" s="25">
        <v>44218</v>
      </c>
      <c r="D191" s="45" t="s">
        <v>32</v>
      </c>
      <c r="E191" s="26" t="s">
        <v>33</v>
      </c>
      <c r="F191" s="27" t="s">
        <v>34</v>
      </c>
      <c r="G191" s="21"/>
    </row>
    <row r="192" spans="1:7" ht="17.25" thickBot="1" x14ac:dyDescent="0.3">
      <c r="A192" s="46"/>
      <c r="B192" s="24" t="s">
        <v>35</v>
      </c>
      <c r="C192" s="28">
        <f>IF(C191="","",IF(AND(MONTH(C191)&gt;=1,MONTH(C191)&lt;=3),1,IF(AND(MONTH(C191)&gt;=4,MONTH(C191)&lt;=6),2,IF(AND(MONTH(C191)&gt;=7,MONTH(C191)&lt;=9),3,4))))</f>
        <v>1</v>
      </c>
      <c r="D192" s="46"/>
      <c r="E192" s="26" t="s">
        <v>36</v>
      </c>
      <c r="F192" s="27" t="s">
        <v>37</v>
      </c>
      <c r="G192" s="21"/>
    </row>
    <row r="193" spans="1:7" ht="17.25" thickBot="1" x14ac:dyDescent="0.3">
      <c r="A193" s="46"/>
      <c r="B193" s="24" t="s">
        <v>38</v>
      </c>
      <c r="C193" s="25">
        <v>44225</v>
      </c>
      <c r="D193" s="46"/>
      <c r="E193" s="26" t="s">
        <v>39</v>
      </c>
      <c r="F193" s="27" t="s">
        <v>37</v>
      </c>
      <c r="G193" s="21"/>
    </row>
    <row r="194" spans="1:7" ht="17.25" thickBot="1" x14ac:dyDescent="0.3">
      <c r="A194" s="46"/>
      <c r="B194" s="24" t="s">
        <v>35</v>
      </c>
      <c r="C194" s="28">
        <f>IF(C193="","",IF(AND(MONTH(C193)&gt;=1,MONTH(C193)&lt;=3),1,IF(AND(MONTH(C193)&gt;=4,MONTH(C193)&lt;=6),2,IF(AND(MONTH(C193)&gt;=7,MONTH(C193)&lt;=9),3,4))))</f>
        <v>1</v>
      </c>
      <c r="D194" s="46"/>
      <c r="E194" s="26" t="s">
        <v>40</v>
      </c>
      <c r="F194" s="27"/>
      <c r="G194" s="21"/>
    </row>
    <row r="195" spans="1:7" ht="17.25" thickBot="1" x14ac:dyDescent="0.3">
      <c r="A195" s="21"/>
      <c r="B195" s="21"/>
      <c r="C195" s="21"/>
      <c r="D195" s="21"/>
      <c r="E195" s="21"/>
      <c r="F195" s="21"/>
      <c r="G195" s="21"/>
    </row>
    <row r="196" spans="1:7" ht="17.25" thickBot="1" x14ac:dyDescent="0.3">
      <c r="A196" s="29" t="s">
        <v>41</v>
      </c>
      <c r="B196" s="29" t="s">
        <v>42</v>
      </c>
      <c r="C196" s="29" t="s">
        <v>43</v>
      </c>
      <c r="D196" s="29" t="s">
        <v>44</v>
      </c>
      <c r="E196" s="29" t="s">
        <v>45</v>
      </c>
      <c r="F196" s="29" t="s">
        <v>46</v>
      </c>
      <c r="G196" s="21"/>
    </row>
    <row r="197" spans="1:7" ht="33.75" x14ac:dyDescent="0.25">
      <c r="A197" s="30" t="s">
        <v>93</v>
      </c>
      <c r="B197" s="31" t="str">
        <f ca="1">IFERROR(INDEX(UNSPSCDes,MATCH(INDIRECT(ADDRESS(ROW(),COLUMN()-1,4)),UNSPSCCode,0)),IF(INDIRECT(ADDRESS(ROW(),COLUMN()-1,4))="78180101","Servicios de reparar o pintar la carrocería de vehículos",""))</f>
        <v>Servicios de reparar o pintar la carrocería de vehículos</v>
      </c>
      <c r="C197" s="32" t="str">
        <f>IFERROR(VLOOKUP("UD",'[1]Informacion '!P:Q,2,FALSE),"")</f>
        <v>Unidad</v>
      </c>
      <c r="D197" s="30">
        <v>1</v>
      </c>
      <c r="E197" s="33">
        <v>600000</v>
      </c>
      <c r="F197" s="34">
        <f ca="1">INDIRECT(ADDRESS(ROW(),COLUMN()-2,4))*INDIRECT(ADDRESS(ROW(),COLUMN()-1,4))</f>
        <v>600000</v>
      </c>
      <c r="G197" s="21"/>
    </row>
    <row r="198" spans="1:7" ht="16.5" x14ac:dyDescent="0.25">
      <c r="A198" s="21"/>
      <c r="B198" s="21"/>
      <c r="C198" s="21"/>
      <c r="D198" s="21"/>
      <c r="E198" s="35" t="s">
        <v>56</v>
      </c>
      <c r="F198" s="36">
        <f ca="1">SUM(Table17[MONTO TOTAL ESTIMADO])</f>
        <v>600000</v>
      </c>
      <c r="G198" s="21"/>
    </row>
    <row r="199" spans="1:7" ht="17.25" thickBot="1" x14ac:dyDescent="0.3">
      <c r="A199" s="21"/>
      <c r="B199" s="21"/>
      <c r="C199" s="21"/>
      <c r="D199" s="21"/>
      <c r="E199" s="21"/>
      <c r="F199" s="21"/>
      <c r="G199" s="21"/>
    </row>
    <row r="200" spans="1:7" ht="23.25" thickBot="1" x14ac:dyDescent="0.3">
      <c r="A200" s="22" t="s">
        <v>19</v>
      </c>
      <c r="B200" s="22" t="s">
        <v>20</v>
      </c>
      <c r="C200" s="22" t="s">
        <v>21</v>
      </c>
      <c r="D200" s="22" t="s">
        <v>22</v>
      </c>
      <c r="E200" s="22" t="s">
        <v>23</v>
      </c>
      <c r="F200" s="22" t="s">
        <v>24</v>
      </c>
      <c r="G200" s="21"/>
    </row>
    <row r="201" spans="1:7" ht="17.25" thickBot="1" x14ac:dyDescent="0.3">
      <c r="A201" s="23" t="s">
        <v>94</v>
      </c>
      <c r="B201" s="23" t="s">
        <v>94</v>
      </c>
      <c r="C201" s="23" t="s">
        <v>27</v>
      </c>
      <c r="D201" s="23" t="s">
        <v>68</v>
      </c>
      <c r="E201" s="23" t="s">
        <v>29</v>
      </c>
      <c r="F201" s="23"/>
      <c r="G201" s="21"/>
    </row>
    <row r="202" spans="1:7" ht="17.25" thickBot="1" x14ac:dyDescent="0.3">
      <c r="A202" s="45" t="s">
        <v>30</v>
      </c>
      <c r="B202" s="24" t="s">
        <v>31</v>
      </c>
      <c r="C202" s="25">
        <v>44235</v>
      </c>
      <c r="D202" s="45" t="s">
        <v>32</v>
      </c>
      <c r="E202" s="26" t="s">
        <v>33</v>
      </c>
      <c r="F202" s="27" t="s">
        <v>34</v>
      </c>
      <c r="G202" s="21"/>
    </row>
    <row r="203" spans="1:7" ht="17.25" thickBot="1" x14ac:dyDescent="0.3">
      <c r="A203" s="46"/>
      <c r="B203" s="24" t="s">
        <v>35</v>
      </c>
      <c r="C203" s="28">
        <f>IF(C202="","",IF(AND(MONTH(C202)&gt;=1,MONTH(C202)&lt;=3),1,IF(AND(MONTH(C202)&gt;=4,MONTH(C202)&lt;=6),2,IF(AND(MONTH(C202)&gt;=7,MONTH(C202)&lt;=9),3,4))))</f>
        <v>1</v>
      </c>
      <c r="D203" s="46"/>
      <c r="E203" s="26" t="s">
        <v>36</v>
      </c>
      <c r="F203" s="27" t="s">
        <v>37</v>
      </c>
      <c r="G203" s="21"/>
    </row>
    <row r="204" spans="1:7" ht="17.25" thickBot="1" x14ac:dyDescent="0.3">
      <c r="A204" s="46"/>
      <c r="B204" s="24" t="s">
        <v>38</v>
      </c>
      <c r="C204" s="25">
        <v>44243</v>
      </c>
      <c r="D204" s="46"/>
      <c r="E204" s="26" t="s">
        <v>39</v>
      </c>
      <c r="F204" s="27" t="s">
        <v>37</v>
      </c>
      <c r="G204" s="21"/>
    </row>
    <row r="205" spans="1:7" ht="17.25" thickBot="1" x14ac:dyDescent="0.3">
      <c r="A205" s="46"/>
      <c r="B205" s="24" t="s">
        <v>35</v>
      </c>
      <c r="C205" s="28">
        <f>IF(C204="","",IF(AND(MONTH(C204)&gt;=1,MONTH(C204)&lt;=3),1,IF(AND(MONTH(C204)&gt;=4,MONTH(C204)&lt;=6),2,IF(AND(MONTH(C204)&gt;=7,MONTH(C204)&lt;=9),3,4))))</f>
        <v>1</v>
      </c>
      <c r="D205" s="46"/>
      <c r="E205" s="26" t="s">
        <v>40</v>
      </c>
      <c r="F205" s="27"/>
      <c r="G205" s="21"/>
    </row>
    <row r="206" spans="1:7" ht="17.25" thickBot="1" x14ac:dyDescent="0.3">
      <c r="A206" s="21"/>
      <c r="B206" s="21"/>
      <c r="C206" s="21"/>
      <c r="D206" s="21"/>
      <c r="E206" s="21"/>
      <c r="F206" s="21"/>
      <c r="G206" s="21"/>
    </row>
    <row r="207" spans="1:7" ht="17.25" thickBot="1" x14ac:dyDescent="0.3">
      <c r="A207" s="29" t="s">
        <v>41</v>
      </c>
      <c r="B207" s="29" t="s">
        <v>42</v>
      </c>
      <c r="C207" s="29" t="s">
        <v>43</v>
      </c>
      <c r="D207" s="29" t="s">
        <v>44</v>
      </c>
      <c r="E207" s="29" t="s">
        <v>45</v>
      </c>
      <c r="F207" s="29" t="s">
        <v>46</v>
      </c>
      <c r="G207" s="21"/>
    </row>
    <row r="208" spans="1:7" ht="56.25" x14ac:dyDescent="0.25">
      <c r="A208" s="30" t="s">
        <v>95</v>
      </c>
      <c r="B208" s="31" t="str">
        <f ca="1">IFERROR(INDEX(UNSPSCDes,MATCH(INDIRECT(ADDRESS(ROW(),COLUMN()-1,4)),UNSPSCCode,0)),IF(INDIRECT(ADDRESS(ROW(),COLUMN()-1,4))="82101508","Publicidad en páginas amarillas o en directorios comerciales o de servicios",""))</f>
        <v>Publicidad en páginas amarillas o en directorios comerciales o de servicios</v>
      </c>
      <c r="C208" s="32" t="str">
        <f>IFERROR(VLOOKUP("UD",'[1]Informacion '!P:Q,2,FALSE),"")</f>
        <v>Unidad</v>
      </c>
      <c r="D208" s="30">
        <v>1</v>
      </c>
      <c r="E208" s="33">
        <v>100000</v>
      </c>
      <c r="F208" s="34">
        <f ca="1">INDIRECT(ADDRESS(ROW(),COLUMN()-2,4))*INDIRECT(ADDRESS(ROW(),COLUMN()-1,4))</f>
        <v>100000</v>
      </c>
      <c r="G208" s="21"/>
    </row>
    <row r="209" spans="1:7" ht="16.5" x14ac:dyDescent="0.25">
      <c r="A209" s="21"/>
      <c r="B209" s="21"/>
      <c r="C209" s="21"/>
      <c r="D209" s="21"/>
      <c r="E209" s="35" t="s">
        <v>56</v>
      </c>
      <c r="F209" s="36">
        <f ca="1">SUM(Table18[MONTO TOTAL ESTIMADO])</f>
        <v>100000</v>
      </c>
      <c r="G209" s="21"/>
    </row>
    <row r="210" spans="1:7" ht="17.25" thickBot="1" x14ac:dyDescent="0.3">
      <c r="A210" s="21"/>
      <c r="B210" s="21"/>
      <c r="C210" s="21"/>
      <c r="D210" s="21"/>
      <c r="E210" s="21"/>
      <c r="F210" s="21"/>
      <c r="G210" s="21"/>
    </row>
    <row r="211" spans="1:7" ht="23.25" thickBot="1" x14ac:dyDescent="0.3">
      <c r="A211" s="22" t="s">
        <v>19</v>
      </c>
      <c r="B211" s="22" t="s">
        <v>20</v>
      </c>
      <c r="C211" s="22" t="s">
        <v>21</v>
      </c>
      <c r="D211" s="22" t="s">
        <v>22</v>
      </c>
      <c r="E211" s="22" t="s">
        <v>23</v>
      </c>
      <c r="F211" s="22" t="s">
        <v>24</v>
      </c>
      <c r="G211" s="21"/>
    </row>
    <row r="212" spans="1:7" ht="17.25" thickBot="1" x14ac:dyDescent="0.3">
      <c r="A212" s="23" t="s">
        <v>94</v>
      </c>
      <c r="B212" s="23" t="s">
        <v>94</v>
      </c>
      <c r="C212" s="23" t="s">
        <v>27</v>
      </c>
      <c r="D212" s="23" t="s">
        <v>68</v>
      </c>
      <c r="E212" s="23" t="s">
        <v>29</v>
      </c>
      <c r="F212" s="23"/>
      <c r="G212" s="21"/>
    </row>
    <row r="213" spans="1:7" ht="17.25" thickBot="1" x14ac:dyDescent="0.3">
      <c r="A213" s="45" t="s">
        <v>30</v>
      </c>
      <c r="B213" s="24" t="s">
        <v>31</v>
      </c>
      <c r="C213" s="25">
        <v>44309</v>
      </c>
      <c r="D213" s="45" t="s">
        <v>32</v>
      </c>
      <c r="E213" s="26" t="s">
        <v>33</v>
      </c>
      <c r="F213" s="27" t="s">
        <v>34</v>
      </c>
      <c r="G213" s="21"/>
    </row>
    <row r="214" spans="1:7" ht="17.25" thickBot="1" x14ac:dyDescent="0.3">
      <c r="A214" s="46"/>
      <c r="B214" s="24" t="s">
        <v>35</v>
      </c>
      <c r="C214" s="28">
        <f>IF(C213="","",IF(AND(MONTH(C213)&gt;=1,MONTH(C213)&lt;=3),1,IF(AND(MONTH(C213)&gt;=4,MONTH(C213)&lt;=6),2,IF(AND(MONTH(C213)&gt;=7,MONTH(C213)&lt;=9),3,4))))</f>
        <v>2</v>
      </c>
      <c r="D214" s="46"/>
      <c r="E214" s="26" t="s">
        <v>36</v>
      </c>
      <c r="F214" s="27" t="s">
        <v>37</v>
      </c>
      <c r="G214" s="21"/>
    </row>
    <row r="215" spans="1:7" ht="17.25" thickBot="1" x14ac:dyDescent="0.3">
      <c r="A215" s="46"/>
      <c r="B215" s="24" t="s">
        <v>38</v>
      </c>
      <c r="C215" s="25">
        <v>44316</v>
      </c>
      <c r="D215" s="46"/>
      <c r="E215" s="26" t="s">
        <v>39</v>
      </c>
      <c r="F215" s="27" t="s">
        <v>37</v>
      </c>
      <c r="G215" s="21"/>
    </row>
    <row r="216" spans="1:7" ht="17.25" thickBot="1" x14ac:dyDescent="0.3">
      <c r="A216" s="46"/>
      <c r="B216" s="24" t="s">
        <v>35</v>
      </c>
      <c r="C216" s="28">
        <f>IF(C215="","",IF(AND(MONTH(C215)&gt;=1,MONTH(C215)&lt;=3),1,IF(AND(MONTH(C215)&gt;=4,MONTH(C215)&lt;=6),2,IF(AND(MONTH(C215)&gt;=7,MONTH(C215)&lt;=9),3,4))))</f>
        <v>2</v>
      </c>
      <c r="D216" s="46"/>
      <c r="E216" s="26" t="s">
        <v>40</v>
      </c>
      <c r="F216" s="27"/>
      <c r="G216" s="21"/>
    </row>
    <row r="217" spans="1:7" ht="17.25" thickBot="1" x14ac:dyDescent="0.3">
      <c r="A217" s="21"/>
      <c r="B217" s="21"/>
      <c r="C217" s="21"/>
      <c r="D217" s="21"/>
      <c r="E217" s="21"/>
      <c r="F217" s="21"/>
      <c r="G217" s="21"/>
    </row>
    <row r="218" spans="1:7" ht="17.25" thickBot="1" x14ac:dyDescent="0.3">
      <c r="A218" s="29" t="s">
        <v>41</v>
      </c>
      <c r="B218" s="29" t="s">
        <v>42</v>
      </c>
      <c r="C218" s="29" t="s">
        <v>43</v>
      </c>
      <c r="D218" s="29" t="s">
        <v>44</v>
      </c>
      <c r="E218" s="29" t="s">
        <v>45</v>
      </c>
      <c r="F218" s="29" t="s">
        <v>46</v>
      </c>
      <c r="G218" s="21"/>
    </row>
    <row r="219" spans="1:7" ht="33.75" x14ac:dyDescent="0.25">
      <c r="A219" s="30" t="s">
        <v>96</v>
      </c>
      <c r="B219" s="31" t="str">
        <f ca="1">IFERROR(INDEX(UNSPSCDes,MATCH(INDIRECT(ADDRESS(ROW(),COLUMN()-1,4)),UNSPSCCode,0)),IF(INDIRECT(ADDRESS(ROW(),COLUMN()-1,4))="82121511","Impresión de hoja de instrucciones o manual técnico",""))</f>
        <v>Impresión de hoja de instrucciones o manual técnico</v>
      </c>
      <c r="C219" s="32" t="str">
        <f>IFERROR(VLOOKUP("UD",'[1]Informacion '!P:Q,2,FALSE),"")</f>
        <v>Unidad</v>
      </c>
      <c r="D219" s="30">
        <v>301</v>
      </c>
      <c r="E219" s="33">
        <v>25</v>
      </c>
      <c r="F219" s="34">
        <f ca="1">INDIRECT(ADDRESS(ROW(),COLUMN()-2,4))*INDIRECT(ADDRESS(ROW(),COLUMN()-1,4))</f>
        <v>7525</v>
      </c>
      <c r="G219" s="21"/>
    </row>
    <row r="220" spans="1:7" ht="16.5" x14ac:dyDescent="0.25">
      <c r="A220" s="21"/>
      <c r="B220" s="21"/>
      <c r="C220" s="21"/>
      <c r="D220" s="21"/>
      <c r="E220" s="35" t="s">
        <v>56</v>
      </c>
      <c r="F220" s="36">
        <f ca="1">SUM(Table19[MONTO TOTAL ESTIMADO])</f>
        <v>7525</v>
      </c>
      <c r="G220" s="21"/>
    </row>
    <row r="221" spans="1:7" ht="17.25" thickBot="1" x14ac:dyDescent="0.3">
      <c r="A221" s="21"/>
      <c r="B221" s="21"/>
      <c r="C221" s="21"/>
      <c r="D221" s="21"/>
      <c r="E221" s="21"/>
      <c r="F221" s="21"/>
      <c r="G221" s="21"/>
    </row>
    <row r="222" spans="1:7" ht="23.25" thickBot="1" x14ac:dyDescent="0.3">
      <c r="A222" s="22" t="s">
        <v>19</v>
      </c>
      <c r="B222" s="22" t="s">
        <v>20</v>
      </c>
      <c r="C222" s="22" t="s">
        <v>21</v>
      </c>
      <c r="D222" s="22" t="s">
        <v>22</v>
      </c>
      <c r="E222" s="22" t="s">
        <v>23</v>
      </c>
      <c r="F222" s="22" t="s">
        <v>24</v>
      </c>
      <c r="G222" s="21"/>
    </row>
    <row r="223" spans="1:7" ht="17.25" thickBot="1" x14ac:dyDescent="0.3">
      <c r="A223" s="23" t="s">
        <v>94</v>
      </c>
      <c r="B223" s="23" t="s">
        <v>94</v>
      </c>
      <c r="C223" s="23" t="s">
        <v>27</v>
      </c>
      <c r="D223" s="23" t="s">
        <v>68</v>
      </c>
      <c r="E223" s="23" t="s">
        <v>29</v>
      </c>
      <c r="F223" s="23"/>
      <c r="G223" s="21"/>
    </row>
    <row r="224" spans="1:7" ht="17.25" thickBot="1" x14ac:dyDescent="0.3">
      <c r="A224" s="45" t="s">
        <v>30</v>
      </c>
      <c r="B224" s="24" t="s">
        <v>31</v>
      </c>
      <c r="C224" s="25">
        <v>44488</v>
      </c>
      <c r="D224" s="45" t="s">
        <v>32</v>
      </c>
      <c r="E224" s="26" t="s">
        <v>33</v>
      </c>
      <c r="F224" s="27" t="s">
        <v>34</v>
      </c>
      <c r="G224" s="21"/>
    </row>
    <row r="225" spans="1:7" ht="17.25" thickBot="1" x14ac:dyDescent="0.3">
      <c r="A225" s="46"/>
      <c r="B225" s="24" t="s">
        <v>35</v>
      </c>
      <c r="C225" s="28">
        <f>IF(C224="","",IF(AND(MONTH(C224)&gt;=1,MONTH(C224)&lt;=3),1,IF(AND(MONTH(C224)&gt;=4,MONTH(C224)&lt;=6),2,IF(AND(MONTH(C224)&gt;=7,MONTH(C224)&lt;=9),3,4))))</f>
        <v>4</v>
      </c>
      <c r="D225" s="46"/>
      <c r="E225" s="26" t="s">
        <v>36</v>
      </c>
      <c r="F225" s="27" t="s">
        <v>37</v>
      </c>
      <c r="G225" s="21"/>
    </row>
    <row r="226" spans="1:7" ht="17.25" thickBot="1" x14ac:dyDescent="0.3">
      <c r="A226" s="46"/>
      <c r="B226" s="24" t="s">
        <v>38</v>
      </c>
      <c r="C226" s="25">
        <v>44494</v>
      </c>
      <c r="D226" s="46"/>
      <c r="E226" s="26" t="s">
        <v>39</v>
      </c>
      <c r="F226" s="27" t="s">
        <v>37</v>
      </c>
      <c r="G226" s="21"/>
    </row>
    <row r="227" spans="1:7" ht="17.25" thickBot="1" x14ac:dyDescent="0.3">
      <c r="A227" s="46"/>
      <c r="B227" s="24" t="s">
        <v>35</v>
      </c>
      <c r="C227" s="28">
        <f>IF(C226="","",IF(AND(MONTH(C226)&gt;=1,MONTH(C226)&lt;=3),1,IF(AND(MONTH(C226)&gt;=4,MONTH(C226)&lt;=6),2,IF(AND(MONTH(C226)&gt;=7,MONTH(C226)&lt;=9),3,4))))</f>
        <v>4</v>
      </c>
      <c r="D227" s="46"/>
      <c r="E227" s="26" t="s">
        <v>40</v>
      </c>
      <c r="F227" s="27"/>
      <c r="G227" s="21"/>
    </row>
    <row r="228" spans="1:7" ht="17.25" thickBot="1" x14ac:dyDescent="0.3">
      <c r="A228" s="21"/>
      <c r="B228" s="21"/>
      <c r="C228" s="21"/>
      <c r="D228" s="21"/>
      <c r="E228" s="21"/>
      <c r="F228" s="21"/>
      <c r="G228" s="21"/>
    </row>
    <row r="229" spans="1:7" ht="17.25" thickBot="1" x14ac:dyDescent="0.3">
      <c r="A229" s="29" t="s">
        <v>41</v>
      </c>
      <c r="B229" s="29" t="s">
        <v>42</v>
      </c>
      <c r="C229" s="29" t="s">
        <v>43</v>
      </c>
      <c r="D229" s="29" t="s">
        <v>44</v>
      </c>
      <c r="E229" s="29" t="s">
        <v>45</v>
      </c>
      <c r="F229" s="29" t="s">
        <v>46</v>
      </c>
      <c r="G229" s="21"/>
    </row>
    <row r="230" spans="1:7" ht="33.75" x14ac:dyDescent="0.25">
      <c r="A230" s="30" t="s">
        <v>96</v>
      </c>
      <c r="B230" s="31" t="str">
        <f ca="1">IFERROR(INDEX(UNSPSCDes,MATCH(INDIRECT(ADDRESS(ROW(),COLUMN()-1,4)),UNSPSCCode,0)),IF(INDIRECT(ADDRESS(ROW(),COLUMN()-1,4))="82121511","Impresión de hoja de instrucciones o manual técnico",""))</f>
        <v>Impresión de hoja de instrucciones o manual técnico</v>
      </c>
      <c r="C230" s="32" t="str">
        <f>IFERROR(VLOOKUP("UD",'[1]Informacion '!P:Q,2,FALSE),"")</f>
        <v>Unidad</v>
      </c>
      <c r="D230" s="30">
        <v>201</v>
      </c>
      <c r="E230" s="33">
        <v>25</v>
      </c>
      <c r="F230" s="34">
        <f ca="1">INDIRECT(ADDRESS(ROW(),COLUMN()-2,4))*INDIRECT(ADDRESS(ROW(),COLUMN()-1,4))</f>
        <v>5025</v>
      </c>
      <c r="G230" s="21"/>
    </row>
    <row r="231" spans="1:7" ht="16.5" x14ac:dyDescent="0.25">
      <c r="A231" s="21"/>
      <c r="B231" s="21"/>
      <c r="C231" s="21"/>
      <c r="D231" s="21"/>
      <c r="E231" s="35" t="s">
        <v>56</v>
      </c>
      <c r="F231" s="36">
        <f ca="1">SUM(Table20[MONTO TOTAL ESTIMADO])</f>
        <v>5025</v>
      </c>
      <c r="G231" s="21"/>
    </row>
    <row r="232" spans="1:7" ht="17.25" thickBot="1" x14ac:dyDescent="0.3">
      <c r="A232" s="21"/>
      <c r="B232" s="21"/>
      <c r="C232" s="21"/>
      <c r="D232" s="21"/>
      <c r="E232" s="21"/>
      <c r="F232" s="21"/>
      <c r="G232" s="21"/>
    </row>
    <row r="233" spans="1:7" ht="23.25" thickBot="1" x14ac:dyDescent="0.3">
      <c r="A233" s="22" t="s">
        <v>19</v>
      </c>
      <c r="B233" s="22" t="s">
        <v>20</v>
      </c>
      <c r="C233" s="22" t="s">
        <v>21</v>
      </c>
      <c r="D233" s="22" t="s">
        <v>22</v>
      </c>
      <c r="E233" s="22" t="s">
        <v>23</v>
      </c>
      <c r="F233" s="22" t="s">
        <v>24</v>
      </c>
      <c r="G233" s="21"/>
    </row>
    <row r="234" spans="1:7" ht="17.25" thickBot="1" x14ac:dyDescent="0.3">
      <c r="A234" s="23" t="s">
        <v>97</v>
      </c>
      <c r="B234" s="23" t="s">
        <v>98</v>
      </c>
      <c r="C234" s="23" t="s">
        <v>64</v>
      </c>
      <c r="D234" s="23" t="s">
        <v>68</v>
      </c>
      <c r="E234" s="23" t="s">
        <v>29</v>
      </c>
      <c r="F234" s="23"/>
      <c r="G234" s="21"/>
    </row>
    <row r="235" spans="1:7" ht="17.25" thickBot="1" x14ac:dyDescent="0.3">
      <c r="A235" s="45" t="s">
        <v>30</v>
      </c>
      <c r="B235" s="24" t="s">
        <v>31</v>
      </c>
      <c r="C235" s="25">
        <v>44393</v>
      </c>
      <c r="D235" s="45" t="s">
        <v>32</v>
      </c>
      <c r="E235" s="26" t="s">
        <v>33</v>
      </c>
      <c r="F235" s="27" t="s">
        <v>34</v>
      </c>
      <c r="G235" s="21"/>
    </row>
    <row r="236" spans="1:7" ht="17.25" thickBot="1" x14ac:dyDescent="0.3">
      <c r="A236" s="46"/>
      <c r="B236" s="24" t="s">
        <v>35</v>
      </c>
      <c r="C236" s="28">
        <f>IF(C235="","",IF(AND(MONTH(C235)&gt;=1,MONTH(C235)&lt;=3),1,IF(AND(MONTH(C235)&gt;=4,MONTH(C235)&lt;=6),2,IF(AND(MONTH(C235)&gt;=7,MONTH(C235)&lt;=9),3,4))))</f>
        <v>3</v>
      </c>
      <c r="D236" s="46"/>
      <c r="E236" s="26" t="s">
        <v>36</v>
      </c>
      <c r="F236" s="27" t="s">
        <v>37</v>
      </c>
      <c r="G236" s="21"/>
    </row>
    <row r="237" spans="1:7" ht="17.25" thickBot="1" x14ac:dyDescent="0.3">
      <c r="A237" s="46"/>
      <c r="B237" s="24" t="s">
        <v>38</v>
      </c>
      <c r="C237" s="25">
        <v>44396</v>
      </c>
      <c r="D237" s="46"/>
      <c r="E237" s="26" t="s">
        <v>39</v>
      </c>
      <c r="F237" s="27" t="s">
        <v>37</v>
      </c>
      <c r="G237" s="21"/>
    </row>
    <row r="238" spans="1:7" ht="17.25" thickBot="1" x14ac:dyDescent="0.3">
      <c r="A238" s="46"/>
      <c r="B238" s="24" t="s">
        <v>35</v>
      </c>
      <c r="C238" s="28">
        <f>IF(C237="","",IF(AND(MONTH(C237)&gt;=1,MONTH(C237)&lt;=3),1,IF(AND(MONTH(C237)&gt;=4,MONTH(C237)&lt;=6),2,IF(AND(MONTH(C237)&gt;=7,MONTH(C237)&lt;=9),3,4))))</f>
        <v>3</v>
      </c>
      <c r="D238" s="46"/>
      <c r="E238" s="26" t="s">
        <v>40</v>
      </c>
      <c r="F238" s="27"/>
      <c r="G238" s="21"/>
    </row>
    <row r="239" spans="1:7" ht="17.25" thickBot="1" x14ac:dyDescent="0.3">
      <c r="A239" s="21"/>
      <c r="B239" s="21"/>
      <c r="C239" s="21"/>
      <c r="D239" s="21"/>
      <c r="E239" s="21"/>
      <c r="F239" s="21"/>
      <c r="G239" s="21"/>
    </row>
    <row r="240" spans="1:7" ht="17.25" thickBot="1" x14ac:dyDescent="0.3">
      <c r="A240" s="29" t="s">
        <v>41</v>
      </c>
      <c r="B240" s="29" t="s">
        <v>42</v>
      </c>
      <c r="C240" s="29" t="s">
        <v>43</v>
      </c>
      <c r="D240" s="29" t="s">
        <v>44</v>
      </c>
      <c r="E240" s="29" t="s">
        <v>45</v>
      </c>
      <c r="F240" s="29" t="s">
        <v>46</v>
      </c>
      <c r="G240" s="21"/>
    </row>
    <row r="241" spans="1:7" ht="56.25" x14ac:dyDescent="0.25">
      <c r="A241" s="30" t="s">
        <v>99</v>
      </c>
      <c r="B241" s="31" t="str">
        <f ca="1">IFERROR(INDEX(UNSPSCDes,MATCH(INDIRECT(ADDRESS(ROW(),COLUMN()-1,4)),UNSPSCCode,0)),IF(INDIRECT(ADDRESS(ROW(),COLUMN()-1,4))="72101517","Servicio de mantenimiento o reparación de generadores portátiles",""))</f>
        <v>Servicio de mantenimiento o reparación de generadores portátiles</v>
      </c>
      <c r="C241" s="32" t="str">
        <f>IFERROR(VLOOKUP("UD",'[1]Informacion '!P:Q,2,FALSE),"")</f>
        <v>Unidad</v>
      </c>
      <c r="D241" s="30">
        <v>1</v>
      </c>
      <c r="E241" s="33">
        <v>10500</v>
      </c>
      <c r="F241" s="34">
        <f ca="1">INDIRECT(ADDRESS(ROW(),COLUMN()-2,4))*INDIRECT(ADDRESS(ROW(),COLUMN()-1,4))</f>
        <v>10500</v>
      </c>
      <c r="G241" s="21"/>
    </row>
    <row r="242" spans="1:7" ht="16.5" x14ac:dyDescent="0.25">
      <c r="A242" s="21"/>
      <c r="B242" s="21"/>
      <c r="C242" s="21"/>
      <c r="D242" s="21"/>
      <c r="E242" s="35" t="s">
        <v>56</v>
      </c>
      <c r="F242" s="36">
        <f ca="1">SUM(Table21[MONTO TOTAL ESTIMADO])</f>
        <v>10500</v>
      </c>
      <c r="G242" s="21"/>
    </row>
    <row r="243" spans="1:7" ht="17.25" thickBot="1" x14ac:dyDescent="0.3">
      <c r="A243" s="21"/>
      <c r="B243" s="21"/>
      <c r="C243" s="21"/>
      <c r="D243" s="21"/>
      <c r="E243" s="21"/>
      <c r="F243" s="21"/>
      <c r="G243" s="21"/>
    </row>
    <row r="244" spans="1:7" ht="23.25" thickBot="1" x14ac:dyDescent="0.3">
      <c r="A244" s="22" t="s">
        <v>19</v>
      </c>
      <c r="B244" s="22" t="s">
        <v>20</v>
      </c>
      <c r="C244" s="22" t="s">
        <v>21</v>
      </c>
      <c r="D244" s="22" t="s">
        <v>22</v>
      </c>
      <c r="E244" s="22" t="s">
        <v>23</v>
      </c>
      <c r="F244" s="22" t="s">
        <v>24</v>
      </c>
      <c r="G244" s="21"/>
    </row>
    <row r="245" spans="1:7" ht="17.25" thickBot="1" x14ac:dyDescent="0.3">
      <c r="A245" s="23" t="s">
        <v>100</v>
      </c>
      <c r="B245" s="23" t="s">
        <v>101</v>
      </c>
      <c r="C245" s="23" t="s">
        <v>27</v>
      </c>
      <c r="D245" s="23" t="s">
        <v>28</v>
      </c>
      <c r="E245" s="23" t="s">
        <v>29</v>
      </c>
      <c r="F245" s="23"/>
      <c r="G245" s="21"/>
    </row>
    <row r="246" spans="1:7" ht="17.25" thickBot="1" x14ac:dyDescent="0.3">
      <c r="A246" s="45" t="s">
        <v>30</v>
      </c>
      <c r="B246" s="24" t="s">
        <v>31</v>
      </c>
      <c r="C246" s="25">
        <v>44368</v>
      </c>
      <c r="D246" s="45" t="s">
        <v>32</v>
      </c>
      <c r="E246" s="26" t="s">
        <v>33</v>
      </c>
      <c r="F246" s="27" t="s">
        <v>34</v>
      </c>
      <c r="G246" s="21"/>
    </row>
    <row r="247" spans="1:7" ht="17.25" thickBot="1" x14ac:dyDescent="0.3">
      <c r="A247" s="46"/>
      <c r="B247" s="24" t="s">
        <v>35</v>
      </c>
      <c r="C247" s="28">
        <f>IF(C246="","",IF(AND(MONTH(C246)&gt;=1,MONTH(C246)&lt;=3),1,IF(AND(MONTH(C246)&gt;=4,MONTH(C246)&lt;=6),2,IF(AND(MONTH(C246)&gt;=7,MONTH(C246)&lt;=9),3,4))))</f>
        <v>2</v>
      </c>
      <c r="D247" s="46"/>
      <c r="E247" s="26" t="s">
        <v>36</v>
      </c>
      <c r="F247" s="27" t="s">
        <v>37</v>
      </c>
      <c r="G247" s="21"/>
    </row>
    <row r="248" spans="1:7" ht="17.25" thickBot="1" x14ac:dyDescent="0.3">
      <c r="A248" s="46"/>
      <c r="B248" s="24" t="s">
        <v>38</v>
      </c>
      <c r="C248" s="25">
        <v>44377</v>
      </c>
      <c r="D248" s="46"/>
      <c r="E248" s="26" t="s">
        <v>39</v>
      </c>
      <c r="F248" s="27" t="s">
        <v>37</v>
      </c>
      <c r="G248" s="21"/>
    </row>
    <row r="249" spans="1:7" ht="17.25" thickBot="1" x14ac:dyDescent="0.3">
      <c r="A249" s="46"/>
      <c r="B249" s="24" t="s">
        <v>35</v>
      </c>
      <c r="C249" s="28">
        <f>IF(C248="","",IF(AND(MONTH(C248)&gt;=1,MONTH(C248)&lt;=3),1,IF(AND(MONTH(C248)&gt;=4,MONTH(C248)&lt;=6),2,IF(AND(MONTH(C248)&gt;=7,MONTH(C248)&lt;=9),3,4))))</f>
        <v>2</v>
      </c>
      <c r="D249" s="46"/>
      <c r="E249" s="26" t="s">
        <v>40</v>
      </c>
      <c r="F249" s="27"/>
      <c r="G249" s="21"/>
    </row>
    <row r="250" spans="1:7" ht="17.25" thickBot="1" x14ac:dyDescent="0.3">
      <c r="A250" s="21"/>
      <c r="B250" s="21"/>
      <c r="C250" s="21"/>
      <c r="D250" s="21"/>
      <c r="E250" s="21"/>
      <c r="F250" s="21"/>
      <c r="G250" s="21"/>
    </row>
    <row r="251" spans="1:7" ht="17.25" thickBot="1" x14ac:dyDescent="0.3">
      <c r="A251" s="29" t="s">
        <v>41</v>
      </c>
      <c r="B251" s="29" t="s">
        <v>42</v>
      </c>
      <c r="C251" s="29" t="s">
        <v>43</v>
      </c>
      <c r="D251" s="29" t="s">
        <v>44</v>
      </c>
      <c r="E251" s="29" t="s">
        <v>45</v>
      </c>
      <c r="F251" s="29" t="s">
        <v>46</v>
      </c>
      <c r="G251" s="21"/>
    </row>
    <row r="252" spans="1:7" ht="33.75" x14ac:dyDescent="0.25">
      <c r="A252" s="30" t="s">
        <v>102</v>
      </c>
      <c r="B252" s="31" t="str">
        <f ca="1">IFERROR(INDEX(UNSPSCDes,MATCH(INDIRECT(ADDRESS(ROW(),COLUMN()-1,4)),UNSPSCCode,0)),IF(INDIRECT(ADDRESS(ROW(),COLUMN()-1,4))="25101507","Camiones ligeros o vehículos utilitarios deportivos",""))</f>
        <v>Camiones ligeros o vehículos utilitarios deportivos</v>
      </c>
      <c r="C252" s="32" t="str">
        <f>IFERROR(VLOOKUP("UD",'[1]Informacion '!P:Q,2,FALSE),"")</f>
        <v>Unidad</v>
      </c>
      <c r="D252" s="30">
        <v>2</v>
      </c>
      <c r="E252" s="33">
        <v>2300000</v>
      </c>
      <c r="F252" s="34">
        <f ca="1">INDIRECT(ADDRESS(ROW(),COLUMN()-2,4))*INDIRECT(ADDRESS(ROW(),COLUMN()-1,4))</f>
        <v>4600000</v>
      </c>
      <c r="G252" s="21"/>
    </row>
    <row r="253" spans="1:7" ht="16.5" x14ac:dyDescent="0.25">
      <c r="A253" s="30" t="s">
        <v>103</v>
      </c>
      <c r="B253" s="31" t="str">
        <f ca="1">IFERROR(INDEX(UNSPSCDes,MATCH(INDIRECT(ADDRESS(ROW(),COLUMN()-1,4)),UNSPSCCode,0)),IF(INDIRECT(ADDRESS(ROW(),COLUMN()-1,4))="25101801","Motocicletas",""))</f>
        <v>Motocicletas</v>
      </c>
      <c r="C253" s="32" t="str">
        <f>IFERROR(VLOOKUP("UD",'[1]Informacion '!P:Q,2,FALSE),"")</f>
        <v>Unidad</v>
      </c>
      <c r="D253" s="30">
        <v>1</v>
      </c>
      <c r="E253" s="33">
        <v>150000</v>
      </c>
      <c r="F253" s="34">
        <f ca="1">INDIRECT(ADDRESS(ROW(),COLUMN()-2,4))*INDIRECT(ADDRESS(ROW(),COLUMN()-1,4))</f>
        <v>150000</v>
      </c>
      <c r="G253" s="21"/>
    </row>
    <row r="254" spans="1:7" ht="16.5" x14ac:dyDescent="0.25">
      <c r="A254" s="21"/>
      <c r="B254" s="21"/>
      <c r="C254" s="21"/>
      <c r="D254" s="21"/>
      <c r="E254" s="35" t="s">
        <v>56</v>
      </c>
      <c r="F254" s="36">
        <f ca="1">SUM(Table22[MONTO TOTAL ESTIMADO])</f>
        <v>4750000</v>
      </c>
      <c r="G254" s="21"/>
    </row>
    <row r="255" spans="1:7" ht="17.25" thickBot="1" x14ac:dyDescent="0.3">
      <c r="A255" s="21"/>
      <c r="B255" s="21"/>
      <c r="C255" s="21"/>
      <c r="D255" s="21"/>
      <c r="E255" s="21"/>
      <c r="F255" s="21"/>
      <c r="G255" s="21"/>
    </row>
    <row r="256" spans="1:7" ht="23.25" thickBot="1" x14ac:dyDescent="0.3">
      <c r="A256" s="22" t="s">
        <v>19</v>
      </c>
      <c r="B256" s="22" t="s">
        <v>20</v>
      </c>
      <c r="C256" s="22" t="s">
        <v>21</v>
      </c>
      <c r="D256" s="22" t="s">
        <v>22</v>
      </c>
      <c r="E256" s="22" t="s">
        <v>23</v>
      </c>
      <c r="F256" s="22" t="s">
        <v>24</v>
      </c>
      <c r="G256" s="21"/>
    </row>
    <row r="257" spans="1:7" ht="17.25" thickBot="1" x14ac:dyDescent="0.3">
      <c r="A257" s="23" t="s">
        <v>104</v>
      </c>
      <c r="B257" s="23" t="s">
        <v>105</v>
      </c>
      <c r="C257" s="23" t="s">
        <v>27</v>
      </c>
      <c r="D257" s="23" t="s">
        <v>58</v>
      </c>
      <c r="E257" s="23" t="s">
        <v>29</v>
      </c>
      <c r="F257" s="23"/>
      <c r="G257" s="21"/>
    </row>
    <row r="258" spans="1:7" ht="17.25" thickBot="1" x14ac:dyDescent="0.3">
      <c r="A258" s="45" t="s">
        <v>30</v>
      </c>
      <c r="B258" s="24" t="s">
        <v>31</v>
      </c>
      <c r="C258" s="25">
        <v>44291</v>
      </c>
      <c r="D258" s="45" t="s">
        <v>32</v>
      </c>
      <c r="E258" s="26" t="s">
        <v>33</v>
      </c>
      <c r="F258" s="27" t="s">
        <v>34</v>
      </c>
      <c r="G258" s="21"/>
    </row>
    <row r="259" spans="1:7" ht="17.25" thickBot="1" x14ac:dyDescent="0.3">
      <c r="A259" s="46"/>
      <c r="B259" s="24" t="s">
        <v>35</v>
      </c>
      <c r="C259" s="28">
        <f>IF(C258="","",IF(AND(MONTH(C258)&gt;=1,MONTH(C258)&lt;=3),1,IF(AND(MONTH(C258)&gt;=4,MONTH(C258)&lt;=6),2,IF(AND(MONTH(C258)&gt;=7,MONTH(C258)&lt;=9),3,4))))</f>
        <v>2</v>
      </c>
      <c r="D259" s="46"/>
      <c r="E259" s="26" t="s">
        <v>36</v>
      </c>
      <c r="F259" s="27" t="s">
        <v>37</v>
      </c>
      <c r="G259" s="21"/>
    </row>
    <row r="260" spans="1:7" ht="17.25" thickBot="1" x14ac:dyDescent="0.3">
      <c r="A260" s="46"/>
      <c r="B260" s="24" t="s">
        <v>38</v>
      </c>
      <c r="C260" s="25">
        <v>44299</v>
      </c>
      <c r="D260" s="46"/>
      <c r="E260" s="26" t="s">
        <v>39</v>
      </c>
      <c r="F260" s="27" t="s">
        <v>37</v>
      </c>
      <c r="G260" s="21"/>
    </row>
    <row r="261" spans="1:7" ht="17.25" thickBot="1" x14ac:dyDescent="0.3">
      <c r="A261" s="46"/>
      <c r="B261" s="24" t="s">
        <v>35</v>
      </c>
      <c r="C261" s="28">
        <f>IF(C260="","",IF(AND(MONTH(C260)&gt;=1,MONTH(C260)&lt;=3),1,IF(AND(MONTH(C260)&gt;=4,MONTH(C260)&lt;=6),2,IF(AND(MONTH(C260)&gt;=7,MONTH(C260)&lt;=9),3,4))))</f>
        <v>2</v>
      </c>
      <c r="D261" s="46"/>
      <c r="E261" s="26" t="s">
        <v>40</v>
      </c>
      <c r="F261" s="27"/>
      <c r="G261" s="21"/>
    </row>
    <row r="262" spans="1:7" ht="17.25" thickBot="1" x14ac:dyDescent="0.3">
      <c r="A262" s="21"/>
      <c r="B262" s="21"/>
      <c r="C262" s="21"/>
      <c r="D262" s="21"/>
      <c r="E262" s="21"/>
      <c r="F262" s="21"/>
      <c r="G262" s="21"/>
    </row>
    <row r="263" spans="1:7" ht="17.25" thickBot="1" x14ac:dyDescent="0.3">
      <c r="A263" s="29" t="s">
        <v>41</v>
      </c>
      <c r="B263" s="29" t="s">
        <v>42</v>
      </c>
      <c r="C263" s="29" t="s">
        <v>43</v>
      </c>
      <c r="D263" s="29" t="s">
        <v>44</v>
      </c>
      <c r="E263" s="29" t="s">
        <v>45</v>
      </c>
      <c r="F263" s="29" t="s">
        <v>46</v>
      </c>
      <c r="G263" s="21"/>
    </row>
    <row r="264" spans="1:7" ht="45" x14ac:dyDescent="0.25">
      <c r="A264" s="30" t="s">
        <v>106</v>
      </c>
      <c r="B264" s="31" t="str">
        <f ca="1">IFERROR(INDEX(UNSPSCDes,MATCH(INDIRECT(ADDRESS(ROW(),COLUMN()-1,4)),UNSPSCCode,0)),IF(INDIRECT(ADDRESS(ROW(),COLUMN()-1,4))="43201503","Procesadores de unidad de procesamiento central cpu",""))</f>
        <v>Procesadores de unidad de procesamiento central cpu</v>
      </c>
      <c r="C264" s="32" t="str">
        <f>IFERROR(VLOOKUP("UD",'[1]Informacion '!P:Q,2,FALSE),"")</f>
        <v>Unidad</v>
      </c>
      <c r="D264" s="30">
        <v>1</v>
      </c>
      <c r="E264" s="33">
        <v>19200</v>
      </c>
      <c r="F264" s="34">
        <f ca="1">INDIRECT(ADDRESS(ROW(),COLUMN()-2,4))*INDIRECT(ADDRESS(ROW(),COLUMN()-1,4))</f>
        <v>19200</v>
      </c>
      <c r="G264" s="21"/>
    </row>
    <row r="265" spans="1:7" ht="16.5" x14ac:dyDescent="0.25">
      <c r="A265" s="30" t="s">
        <v>107</v>
      </c>
      <c r="B265" s="31" t="str">
        <f ca="1">IFERROR(INDEX(UNSPSCDes,MATCH(INDIRECT(ADDRESS(ROW(),COLUMN()-1,4)),UNSPSCCode,0)),IF(INDIRECT(ADDRESS(ROW(),COLUMN()-1,4))="45111607","Proyectores de techo",""))</f>
        <v>Proyectores de techo</v>
      </c>
      <c r="C265" s="32" t="str">
        <f>IFERROR(VLOOKUP("UD",'[1]Informacion '!P:Q,2,FALSE),"")</f>
        <v>Unidad</v>
      </c>
      <c r="D265" s="30">
        <v>1</v>
      </c>
      <c r="E265" s="33">
        <v>28800</v>
      </c>
      <c r="F265" s="34">
        <f ca="1">INDIRECT(ADDRESS(ROW(),COLUMN()-2,4))*INDIRECT(ADDRESS(ROW(),COLUMN()-1,4))</f>
        <v>28800</v>
      </c>
      <c r="G265" s="21"/>
    </row>
    <row r="266" spans="1:7" ht="22.5" x14ac:dyDescent="0.25">
      <c r="A266" s="30" t="s">
        <v>108</v>
      </c>
      <c r="B266" s="31" t="str">
        <f ca="1">IFERROR(INDEX(UNSPSCDes,MATCH(INDIRECT(ADDRESS(ROW(),COLUMN()-1,4)),UNSPSCCode,0)),IF(INDIRECT(ADDRESS(ROW(),COLUMN()-1,4))="43222901","Acondicionadores de línea",""))</f>
        <v>Acondicionadores de línea</v>
      </c>
      <c r="C266" s="32" t="str">
        <f>IFERROR(VLOOKUP("UD",'[1]Informacion '!P:Q,2,FALSE),"")</f>
        <v>Unidad</v>
      </c>
      <c r="D266" s="30">
        <v>25</v>
      </c>
      <c r="E266" s="33">
        <v>6500</v>
      </c>
      <c r="F266" s="34">
        <f ca="1">INDIRECT(ADDRESS(ROW(),COLUMN()-2,4))*INDIRECT(ADDRESS(ROW(),COLUMN()-1,4))</f>
        <v>162500</v>
      </c>
      <c r="G266" s="21"/>
    </row>
    <row r="267" spans="1:7" ht="16.5" x14ac:dyDescent="0.25">
      <c r="A267" s="30" t="s">
        <v>109</v>
      </c>
      <c r="B267" s="31" t="str">
        <f ca="1">IFERROR(INDEX(UNSPSCDes,MATCH(INDIRECT(ADDRESS(ROW(),COLUMN()-1,4)),UNSPSCCode,0)),IF(INDIRECT(ADDRESS(ROW(),COLUMN()-1,4))="43191504","Teléfonos fijos",""))</f>
        <v>Teléfonos fijos</v>
      </c>
      <c r="C267" s="32" t="str">
        <f>IFERROR(VLOOKUP("UD",'[1]Informacion '!P:Q,2,FALSE),"")</f>
        <v>Unidad</v>
      </c>
      <c r="D267" s="30">
        <v>20</v>
      </c>
      <c r="E267" s="33">
        <v>3200</v>
      </c>
      <c r="F267" s="34">
        <f ca="1">INDIRECT(ADDRESS(ROW(),COLUMN()-2,4))*INDIRECT(ADDRESS(ROW(),COLUMN()-1,4))</f>
        <v>64000</v>
      </c>
      <c r="G267" s="21"/>
    </row>
    <row r="268" spans="1:7" ht="16.5" x14ac:dyDescent="0.25">
      <c r="A268" s="21"/>
      <c r="B268" s="21"/>
      <c r="C268" s="21"/>
      <c r="D268" s="21"/>
      <c r="E268" s="35" t="s">
        <v>56</v>
      </c>
      <c r="F268" s="36">
        <f ca="1">SUM(Table23[MONTO TOTAL ESTIMADO])</f>
        <v>274500</v>
      </c>
      <c r="G268" s="21"/>
    </row>
    <row r="269" spans="1:7" ht="17.25" thickBot="1" x14ac:dyDescent="0.3">
      <c r="A269" s="21"/>
      <c r="B269" s="21"/>
      <c r="C269" s="21"/>
      <c r="D269" s="21"/>
      <c r="E269" s="21"/>
      <c r="F269" s="21"/>
      <c r="G269" s="21"/>
    </row>
    <row r="270" spans="1:7" ht="23.25" thickBot="1" x14ac:dyDescent="0.3">
      <c r="A270" s="22" t="s">
        <v>19</v>
      </c>
      <c r="B270" s="22" t="s">
        <v>20</v>
      </c>
      <c r="C270" s="22" t="s">
        <v>21</v>
      </c>
      <c r="D270" s="22" t="s">
        <v>22</v>
      </c>
      <c r="E270" s="22" t="s">
        <v>23</v>
      </c>
      <c r="F270" s="22" t="s">
        <v>24</v>
      </c>
      <c r="G270" s="21"/>
    </row>
    <row r="271" spans="1:7" ht="17.25" thickBot="1" x14ac:dyDescent="0.3">
      <c r="A271" s="23" t="s">
        <v>110</v>
      </c>
      <c r="B271" s="23" t="s">
        <v>111</v>
      </c>
      <c r="C271" s="23" t="s">
        <v>27</v>
      </c>
      <c r="D271" s="23" t="s">
        <v>112</v>
      </c>
      <c r="E271" s="23" t="s">
        <v>29</v>
      </c>
      <c r="F271" s="23"/>
      <c r="G271" s="21"/>
    </row>
    <row r="272" spans="1:7" ht="17.25" thickBot="1" x14ac:dyDescent="0.3">
      <c r="A272" s="45" t="s">
        <v>30</v>
      </c>
      <c r="B272" s="24" t="s">
        <v>31</v>
      </c>
      <c r="C272" s="25">
        <v>44256</v>
      </c>
      <c r="D272" s="45" t="s">
        <v>32</v>
      </c>
      <c r="E272" s="26" t="s">
        <v>33</v>
      </c>
      <c r="F272" s="27" t="s">
        <v>34</v>
      </c>
      <c r="G272" s="21"/>
    </row>
    <row r="273" spans="1:7" ht="17.25" thickBot="1" x14ac:dyDescent="0.3">
      <c r="A273" s="46"/>
      <c r="B273" s="24" t="s">
        <v>35</v>
      </c>
      <c r="C273" s="28">
        <f>IF(C272="","",IF(AND(MONTH(C272)&gt;=1,MONTH(C272)&lt;=3),1,IF(AND(MONTH(C272)&gt;=4,MONTH(C272)&lt;=6),2,IF(AND(MONTH(C272)&gt;=7,MONTH(C272)&lt;=9),3,4))))</f>
        <v>1</v>
      </c>
      <c r="D273" s="46"/>
      <c r="E273" s="26" t="s">
        <v>36</v>
      </c>
      <c r="F273" s="27" t="s">
        <v>37</v>
      </c>
      <c r="G273" s="21"/>
    </row>
    <row r="274" spans="1:7" ht="17.25" thickBot="1" x14ac:dyDescent="0.3">
      <c r="A274" s="46"/>
      <c r="B274" s="24" t="s">
        <v>38</v>
      </c>
      <c r="C274" s="25">
        <v>44264</v>
      </c>
      <c r="D274" s="46"/>
      <c r="E274" s="26" t="s">
        <v>39</v>
      </c>
      <c r="F274" s="27" t="s">
        <v>37</v>
      </c>
      <c r="G274" s="21"/>
    </row>
    <row r="275" spans="1:7" ht="17.25" thickBot="1" x14ac:dyDescent="0.3">
      <c r="A275" s="46"/>
      <c r="B275" s="24" t="s">
        <v>35</v>
      </c>
      <c r="C275" s="28">
        <f>IF(C274="","",IF(AND(MONTH(C274)&gt;=1,MONTH(C274)&lt;=3),1,IF(AND(MONTH(C274)&gt;=4,MONTH(C274)&lt;=6),2,IF(AND(MONTH(C274)&gt;=7,MONTH(C274)&lt;=9),3,4))))</f>
        <v>1</v>
      </c>
      <c r="D275" s="46"/>
      <c r="E275" s="26" t="s">
        <v>40</v>
      </c>
      <c r="F275" s="27"/>
      <c r="G275" s="21"/>
    </row>
    <row r="276" spans="1:7" ht="17.25" thickBot="1" x14ac:dyDescent="0.3">
      <c r="A276" s="21"/>
      <c r="B276" s="21"/>
      <c r="C276" s="21"/>
      <c r="D276" s="21"/>
      <c r="E276" s="21"/>
      <c r="F276" s="21"/>
      <c r="G276" s="21"/>
    </row>
    <row r="277" spans="1:7" ht="17.25" thickBot="1" x14ac:dyDescent="0.3">
      <c r="A277" s="29" t="s">
        <v>41</v>
      </c>
      <c r="B277" s="29" t="s">
        <v>42</v>
      </c>
      <c r="C277" s="29" t="s">
        <v>43</v>
      </c>
      <c r="D277" s="29" t="s">
        <v>44</v>
      </c>
      <c r="E277" s="29" t="s">
        <v>45</v>
      </c>
      <c r="F277" s="29" t="s">
        <v>46</v>
      </c>
      <c r="G277" s="21"/>
    </row>
    <row r="278" spans="1:7" ht="22.5" x14ac:dyDescent="0.25">
      <c r="A278" s="30" t="s">
        <v>113</v>
      </c>
      <c r="B278" s="31" t="str">
        <f ca="1">IFERROR(INDEX(UNSPSCDes,MATCH(INDIRECT(ADDRESS(ROW(),COLUMN()-1,4)),UNSPSCCode,0)),IF(INDIRECT(ADDRESS(ROW(),COLUMN()-1,4))="43231512","Software de manejo de licencias",""))</f>
        <v>Software de manejo de licencias</v>
      </c>
      <c r="C278" s="32" t="str">
        <f>IFERROR(VLOOKUP("UD",'[1]Informacion '!P:Q,2,FALSE),"")</f>
        <v>Unidad</v>
      </c>
      <c r="D278" s="30">
        <v>310</v>
      </c>
      <c r="E278" s="33">
        <v>7000</v>
      </c>
      <c r="F278" s="34">
        <f ca="1">INDIRECT(ADDRESS(ROW(),COLUMN()-2,4))*INDIRECT(ADDRESS(ROW(),COLUMN()-1,4))</f>
        <v>2170000</v>
      </c>
      <c r="G278" s="21"/>
    </row>
    <row r="279" spans="1:7" ht="22.5" x14ac:dyDescent="0.25">
      <c r="A279" s="30" t="s">
        <v>113</v>
      </c>
      <c r="B279" s="31" t="str">
        <f ca="1">IFERROR(INDEX(UNSPSCDes,MATCH(INDIRECT(ADDRESS(ROW(),COLUMN()-1,4)),UNSPSCCode,0)),IF(INDIRECT(ADDRESS(ROW(),COLUMN()-1,4))="43231512","Software de manejo de licencias",""))</f>
        <v>Software de manejo de licencias</v>
      </c>
      <c r="C279" s="32" t="str">
        <f>IFERROR(VLOOKUP("UD",'[1]Informacion '!P:Q,2,FALSE),"")</f>
        <v>Unidad</v>
      </c>
      <c r="D279" s="30">
        <v>100</v>
      </c>
      <c r="E279" s="33">
        <v>17500</v>
      </c>
      <c r="F279" s="34">
        <f ca="1">INDIRECT(ADDRESS(ROW(),COLUMN()-2,4))*INDIRECT(ADDRESS(ROW(),COLUMN()-1,4))</f>
        <v>1750000</v>
      </c>
      <c r="G279" s="21"/>
    </row>
    <row r="280" spans="1:7" ht="16.5" x14ac:dyDescent="0.25">
      <c r="A280" s="21"/>
      <c r="B280" s="21"/>
      <c r="C280" s="21"/>
      <c r="D280" s="21"/>
      <c r="E280" s="35" t="s">
        <v>56</v>
      </c>
      <c r="F280" s="36">
        <f ca="1">SUM(Table24[MONTO TOTAL ESTIMADO])</f>
        <v>3920000</v>
      </c>
      <c r="G280" s="21"/>
    </row>
    <row r="281" spans="1:7" ht="17.25" thickBot="1" x14ac:dyDescent="0.3">
      <c r="A281" s="21"/>
      <c r="B281" s="21"/>
      <c r="C281" s="21"/>
      <c r="D281" s="21"/>
      <c r="E281" s="21"/>
      <c r="F281" s="21"/>
      <c r="G281" s="21"/>
    </row>
    <row r="282" spans="1:7" ht="23.25" thickBot="1" x14ac:dyDescent="0.3">
      <c r="A282" s="22" t="s">
        <v>19</v>
      </c>
      <c r="B282" s="22" t="s">
        <v>20</v>
      </c>
      <c r="C282" s="22" t="s">
        <v>21</v>
      </c>
      <c r="D282" s="22" t="s">
        <v>22</v>
      </c>
      <c r="E282" s="22" t="s">
        <v>23</v>
      </c>
      <c r="F282" s="22" t="s">
        <v>24</v>
      </c>
      <c r="G282" s="21"/>
    </row>
    <row r="283" spans="1:7" ht="17.25" thickBot="1" x14ac:dyDescent="0.3">
      <c r="A283" s="23" t="s">
        <v>114</v>
      </c>
      <c r="B283" s="23" t="s">
        <v>115</v>
      </c>
      <c r="C283" s="23" t="s">
        <v>27</v>
      </c>
      <c r="D283" s="23" t="s">
        <v>68</v>
      </c>
      <c r="E283" s="23" t="s">
        <v>29</v>
      </c>
      <c r="F283" s="23"/>
      <c r="G283" s="21"/>
    </row>
    <row r="284" spans="1:7" ht="17.25" thickBot="1" x14ac:dyDescent="0.3">
      <c r="A284" s="45" t="s">
        <v>30</v>
      </c>
      <c r="B284" s="24" t="s">
        <v>31</v>
      </c>
      <c r="C284" s="25">
        <v>44204</v>
      </c>
      <c r="D284" s="45" t="s">
        <v>32</v>
      </c>
      <c r="E284" s="26" t="s">
        <v>33</v>
      </c>
      <c r="F284" s="27" t="s">
        <v>34</v>
      </c>
      <c r="G284" s="21"/>
    </row>
    <row r="285" spans="1:7" ht="17.25" thickBot="1" x14ac:dyDescent="0.3">
      <c r="A285" s="46"/>
      <c r="B285" s="24" t="s">
        <v>35</v>
      </c>
      <c r="C285" s="28">
        <f>IF(C284="","",IF(AND(MONTH(C284)&gt;=1,MONTH(C284)&lt;=3),1,IF(AND(MONTH(C284)&gt;=4,MONTH(C284)&lt;=6),2,IF(AND(MONTH(C284)&gt;=7,MONTH(C284)&lt;=9),3,4))))</f>
        <v>1</v>
      </c>
      <c r="D285" s="46"/>
      <c r="E285" s="26" t="s">
        <v>36</v>
      </c>
      <c r="F285" s="27" t="s">
        <v>37</v>
      </c>
      <c r="G285" s="21"/>
    </row>
    <row r="286" spans="1:7" ht="17.25" thickBot="1" x14ac:dyDescent="0.3">
      <c r="A286" s="46"/>
      <c r="B286" s="24" t="s">
        <v>38</v>
      </c>
      <c r="C286" s="25">
        <v>44211</v>
      </c>
      <c r="D286" s="46"/>
      <c r="E286" s="26" t="s">
        <v>39</v>
      </c>
      <c r="F286" s="27" t="s">
        <v>37</v>
      </c>
      <c r="G286" s="21"/>
    </row>
    <row r="287" spans="1:7" ht="17.25" thickBot="1" x14ac:dyDescent="0.3">
      <c r="A287" s="46"/>
      <c r="B287" s="24" t="s">
        <v>35</v>
      </c>
      <c r="C287" s="28">
        <f>IF(C286="","",IF(AND(MONTH(C286)&gt;=1,MONTH(C286)&lt;=3),1,IF(AND(MONTH(C286)&gt;=4,MONTH(C286)&lt;=6),2,IF(AND(MONTH(C286)&gt;=7,MONTH(C286)&lt;=9),3,4))))</f>
        <v>1</v>
      </c>
      <c r="D287" s="46"/>
      <c r="E287" s="26" t="s">
        <v>40</v>
      </c>
      <c r="F287" s="27"/>
      <c r="G287" s="21"/>
    </row>
    <row r="288" spans="1:7" ht="17.25" thickBot="1" x14ac:dyDescent="0.3">
      <c r="A288" s="21"/>
      <c r="B288" s="21"/>
      <c r="C288" s="21"/>
      <c r="D288" s="21"/>
      <c r="E288" s="21"/>
      <c r="F288" s="21"/>
      <c r="G288" s="21"/>
    </row>
    <row r="289" spans="1:7" ht="17.25" thickBot="1" x14ac:dyDescent="0.3">
      <c r="A289" s="29" t="s">
        <v>41</v>
      </c>
      <c r="B289" s="29" t="s">
        <v>42</v>
      </c>
      <c r="C289" s="29" t="s">
        <v>43</v>
      </c>
      <c r="D289" s="29" t="s">
        <v>44</v>
      </c>
      <c r="E289" s="29" t="s">
        <v>45</v>
      </c>
      <c r="F289" s="29" t="s">
        <v>46</v>
      </c>
      <c r="G289" s="21"/>
    </row>
    <row r="290" spans="1:7" ht="45" x14ac:dyDescent="0.25">
      <c r="A290" s="30" t="s">
        <v>116</v>
      </c>
      <c r="B290" s="31" t="str">
        <f ca="1">IFERROR(INDEX(UNSPSCDes,MATCH(INDIRECT(ADDRESS(ROW(),COLUMN()-1,4)),UNSPSCCode,0)),IF(INDIRECT(ADDRESS(ROW(),COLUMN()-1,4))="45121805","Componentes o accesorios de cámara de micro filmado",""))</f>
        <v>Componentes o accesorios de cámara de micro filmado</v>
      </c>
      <c r="C290" s="32" t="str">
        <f>IFERROR(VLOOKUP("UD",'[1]Informacion '!P:Q,2,FALSE),"")</f>
        <v>Unidad</v>
      </c>
      <c r="D290" s="30">
        <v>1</v>
      </c>
      <c r="E290" s="33">
        <v>10500</v>
      </c>
      <c r="F290" s="34">
        <f ca="1">INDIRECT(ADDRESS(ROW(),COLUMN()-2,4))*INDIRECT(ADDRESS(ROW(),COLUMN()-1,4))</f>
        <v>10500</v>
      </c>
      <c r="G290" s="21"/>
    </row>
    <row r="291" spans="1:7" ht="45" x14ac:dyDescent="0.25">
      <c r="A291" s="30" t="s">
        <v>116</v>
      </c>
      <c r="B291" s="31" t="str">
        <f ca="1">IFERROR(INDEX(UNSPSCDes,MATCH(INDIRECT(ADDRESS(ROW(),COLUMN()-1,4)),UNSPSCCode,0)),IF(INDIRECT(ADDRESS(ROW(),COLUMN()-1,4))="45121805","Componentes o accesorios de cámara de micro filmado",""))</f>
        <v>Componentes o accesorios de cámara de micro filmado</v>
      </c>
      <c r="C291" s="32" t="str">
        <f>IFERROR(VLOOKUP("UD",'[1]Informacion '!P:Q,2,FALSE),"")</f>
        <v>Unidad</v>
      </c>
      <c r="D291" s="30">
        <v>3</v>
      </c>
      <c r="E291" s="33">
        <v>10600</v>
      </c>
      <c r="F291" s="34">
        <f ca="1">INDIRECT(ADDRESS(ROW(),COLUMN()-2,4))*INDIRECT(ADDRESS(ROW(),COLUMN()-1,4))</f>
        <v>31800</v>
      </c>
      <c r="G291" s="21"/>
    </row>
    <row r="292" spans="1:7" ht="16.5" x14ac:dyDescent="0.25">
      <c r="A292" s="21"/>
      <c r="B292" s="21"/>
      <c r="C292" s="21"/>
      <c r="D292" s="21"/>
      <c r="E292" s="35" t="s">
        <v>56</v>
      </c>
      <c r="F292" s="36">
        <f ca="1">SUM(Table25[MONTO TOTAL ESTIMADO])</f>
        <v>42300</v>
      </c>
      <c r="G292" s="21"/>
    </row>
    <row r="293" spans="1:7" ht="17.25" thickBot="1" x14ac:dyDescent="0.3">
      <c r="A293" s="21"/>
      <c r="B293" s="21"/>
      <c r="C293" s="21"/>
      <c r="D293" s="21"/>
      <c r="E293" s="21"/>
      <c r="F293" s="21"/>
      <c r="G293" s="21"/>
    </row>
    <row r="294" spans="1:7" ht="23.25" thickBot="1" x14ac:dyDescent="0.3">
      <c r="A294" s="22" t="s">
        <v>19</v>
      </c>
      <c r="B294" s="22" t="s">
        <v>20</v>
      </c>
      <c r="C294" s="22" t="s">
        <v>21</v>
      </c>
      <c r="D294" s="22" t="s">
        <v>22</v>
      </c>
      <c r="E294" s="22" t="s">
        <v>23</v>
      </c>
      <c r="F294" s="22" t="s">
        <v>24</v>
      </c>
      <c r="G294" s="21"/>
    </row>
    <row r="295" spans="1:7" ht="17.25" thickBot="1" x14ac:dyDescent="0.3">
      <c r="A295" s="23" t="s">
        <v>117</v>
      </c>
      <c r="B295" s="23" t="s">
        <v>117</v>
      </c>
      <c r="C295" s="23" t="s">
        <v>27</v>
      </c>
      <c r="D295" s="23" t="s">
        <v>58</v>
      </c>
      <c r="E295" s="23" t="s">
        <v>29</v>
      </c>
      <c r="F295" s="23"/>
      <c r="G295" s="21"/>
    </row>
    <row r="296" spans="1:7" ht="17.25" thickBot="1" x14ac:dyDescent="0.3">
      <c r="A296" s="45" t="s">
        <v>30</v>
      </c>
      <c r="B296" s="24" t="s">
        <v>31</v>
      </c>
      <c r="C296" s="25">
        <v>44445</v>
      </c>
      <c r="D296" s="45" t="s">
        <v>32</v>
      </c>
      <c r="E296" s="26" t="s">
        <v>33</v>
      </c>
      <c r="F296" s="27" t="s">
        <v>34</v>
      </c>
      <c r="G296" s="21"/>
    </row>
    <row r="297" spans="1:7" ht="17.25" thickBot="1" x14ac:dyDescent="0.3">
      <c r="A297" s="46"/>
      <c r="B297" s="24" t="s">
        <v>35</v>
      </c>
      <c r="C297" s="28">
        <f>IF(C296="","",IF(AND(MONTH(C296)&gt;=1,MONTH(C296)&lt;=3),1,IF(AND(MONTH(C296)&gt;=4,MONTH(C296)&lt;=6),2,IF(AND(MONTH(C296)&gt;=7,MONTH(C296)&lt;=9),3,4))))</f>
        <v>3</v>
      </c>
      <c r="D297" s="46"/>
      <c r="E297" s="26" t="s">
        <v>36</v>
      </c>
      <c r="F297" s="27" t="s">
        <v>37</v>
      </c>
      <c r="G297" s="21"/>
    </row>
    <row r="298" spans="1:7" ht="17.25" thickBot="1" x14ac:dyDescent="0.3">
      <c r="A298" s="46"/>
      <c r="B298" s="24" t="s">
        <v>38</v>
      </c>
      <c r="C298" s="25">
        <v>44456</v>
      </c>
      <c r="D298" s="46"/>
      <c r="E298" s="26" t="s">
        <v>39</v>
      </c>
      <c r="F298" s="27" t="s">
        <v>37</v>
      </c>
      <c r="G298" s="21"/>
    </row>
    <row r="299" spans="1:7" ht="17.25" thickBot="1" x14ac:dyDescent="0.3">
      <c r="A299" s="46"/>
      <c r="B299" s="24" t="s">
        <v>35</v>
      </c>
      <c r="C299" s="28">
        <f>IF(C298="","",IF(AND(MONTH(C298)&gt;=1,MONTH(C298)&lt;=3),1,IF(AND(MONTH(C298)&gt;=4,MONTH(C298)&lt;=6),2,IF(AND(MONTH(C298)&gt;=7,MONTH(C298)&lt;=9),3,4))))</f>
        <v>3</v>
      </c>
      <c r="D299" s="46"/>
      <c r="E299" s="26" t="s">
        <v>40</v>
      </c>
      <c r="F299" s="27"/>
      <c r="G299" s="21"/>
    </row>
    <row r="300" spans="1:7" ht="17.25" thickBot="1" x14ac:dyDescent="0.3">
      <c r="A300" s="21"/>
      <c r="B300" s="21"/>
      <c r="C300" s="21"/>
      <c r="D300" s="21"/>
      <c r="E300" s="21"/>
      <c r="F300" s="21"/>
      <c r="G300" s="21"/>
    </row>
    <row r="301" spans="1:7" ht="17.25" thickBot="1" x14ac:dyDescent="0.3">
      <c r="A301" s="29" t="s">
        <v>41</v>
      </c>
      <c r="B301" s="29" t="s">
        <v>42</v>
      </c>
      <c r="C301" s="29" t="s">
        <v>43</v>
      </c>
      <c r="D301" s="29" t="s">
        <v>44</v>
      </c>
      <c r="E301" s="29" t="s">
        <v>45</v>
      </c>
      <c r="F301" s="29" t="s">
        <v>46</v>
      </c>
      <c r="G301" s="21"/>
    </row>
    <row r="302" spans="1:7" ht="22.5" x14ac:dyDescent="0.25">
      <c r="A302" s="30" t="s">
        <v>118</v>
      </c>
      <c r="B302" s="31" t="str">
        <f ca="1">IFERROR(INDEX(UNSPSCDes,MATCH(INDIRECT(ADDRESS(ROW(),COLUMN()-1,4)),UNSPSCCode,0)),IF(INDIRECT(ADDRESS(ROW(),COLUMN()-1,4))="51171504","Antiácidos de bicarbonato de sodio",""))</f>
        <v>Antiácidos de bicarbonato de sodio</v>
      </c>
      <c r="C302" s="32" t="str">
        <f>IFERROR(VLOOKUP("CAJ",'[1]Informacion '!P:Q,2,FALSE),"")</f>
        <v>Caja</v>
      </c>
      <c r="D302" s="30">
        <v>50</v>
      </c>
      <c r="E302" s="33">
        <v>745</v>
      </c>
      <c r="F302" s="34">
        <f t="shared" ref="F302:F310" ca="1" si="3">INDIRECT(ADDRESS(ROW(),COLUMN()-2,4))*INDIRECT(ADDRESS(ROW(),COLUMN()-1,4))</f>
        <v>37250</v>
      </c>
      <c r="G302" s="21"/>
    </row>
    <row r="303" spans="1:7" ht="16.5" x14ac:dyDescent="0.25">
      <c r="A303" s="30" t="s">
        <v>119</v>
      </c>
      <c r="B303" s="31" t="str">
        <f ca="1">IFERROR(INDEX(UNSPSCDes,MATCH(INDIRECT(ADDRESS(ROW(),COLUMN()-1,4)),UNSPSCCode,0)),IF(INDIRECT(ADDRESS(ROW(),COLUMN()-1,4))="51161803","Mentol",""))</f>
        <v>Mentol</v>
      </c>
      <c r="C303" s="32" t="str">
        <f>IFERROR(VLOOKUP("UD",'[1]Informacion '!P:Q,2,FALSE),"")</f>
        <v>Unidad</v>
      </c>
      <c r="D303" s="30">
        <v>50</v>
      </c>
      <c r="E303" s="33">
        <v>450</v>
      </c>
      <c r="F303" s="34">
        <f t="shared" ca="1" si="3"/>
        <v>22500</v>
      </c>
      <c r="G303" s="21"/>
    </row>
    <row r="304" spans="1:7" ht="16.5" x14ac:dyDescent="0.25">
      <c r="A304" s="30" t="s">
        <v>120</v>
      </c>
      <c r="B304" s="31" t="str">
        <f ca="1">IFERROR(INDEX(UNSPSCDes,MATCH(INDIRECT(ADDRESS(ROW(),COLUMN()-1,4)),UNSPSCCode,0)),IF(INDIRECT(ADDRESS(ROW(),COLUMN()-1,4))="51171820","Dimenhidrinato",""))</f>
        <v>Dimenhidrinato</v>
      </c>
      <c r="C304" s="32" t="str">
        <f>IFERROR(VLOOKUP("CAJ",'[1]Informacion '!P:Q,2,FALSE),"")</f>
        <v>Caja</v>
      </c>
      <c r="D304" s="30">
        <v>40</v>
      </c>
      <c r="E304" s="33">
        <v>630</v>
      </c>
      <c r="F304" s="34">
        <f t="shared" ca="1" si="3"/>
        <v>25200</v>
      </c>
      <c r="G304" s="21"/>
    </row>
    <row r="305" spans="1:7" ht="16.5" x14ac:dyDescent="0.25">
      <c r="A305" s="30" t="s">
        <v>121</v>
      </c>
      <c r="B305" s="31" t="str">
        <f ca="1">IFERROR(INDEX(UNSPSCDes,MATCH(INDIRECT(ADDRESS(ROW(),COLUMN()-1,4)),UNSPSCCode,0)),IF(INDIRECT(ADDRESS(ROW(),COLUMN()-1,4))="51161620","Difenhidramina",""))</f>
        <v>Difenhidramina</v>
      </c>
      <c r="C305" s="32" t="str">
        <f>IFERROR(VLOOKUP("CAJ",'[1]Informacion '!P:Q,2,FALSE),"")</f>
        <v>Caja</v>
      </c>
      <c r="D305" s="30">
        <v>50</v>
      </c>
      <c r="E305" s="33">
        <v>950</v>
      </c>
      <c r="F305" s="34">
        <f t="shared" ca="1" si="3"/>
        <v>47500</v>
      </c>
      <c r="G305" s="21"/>
    </row>
    <row r="306" spans="1:7" ht="16.5" x14ac:dyDescent="0.25">
      <c r="A306" s="30" t="s">
        <v>122</v>
      </c>
      <c r="B306" s="31" t="str">
        <f ca="1">IFERROR(INDEX(UNSPSCDes,MATCH(INDIRECT(ADDRESS(ROW(),COLUMN()-1,4)),UNSPSCCode,0)),IF(INDIRECT(ADDRESS(ROW(),COLUMN()-1,4))="51142106","Ibuprofeno",""))</f>
        <v>Ibuprofeno</v>
      </c>
      <c r="C306" s="32" t="str">
        <f>IFERROR(VLOOKUP("CAJ",'[1]Informacion '!P:Q,2,FALSE),"")</f>
        <v>Caja</v>
      </c>
      <c r="D306" s="30">
        <v>50</v>
      </c>
      <c r="E306" s="33">
        <v>225</v>
      </c>
      <c r="F306" s="34">
        <f t="shared" ca="1" si="3"/>
        <v>11250</v>
      </c>
      <c r="G306" s="21"/>
    </row>
    <row r="307" spans="1:7" ht="16.5" x14ac:dyDescent="0.25">
      <c r="A307" s="30" t="s">
        <v>123</v>
      </c>
      <c r="B307" s="31" t="str">
        <f ca="1">IFERROR(INDEX(UNSPSCDes,MATCH(INDIRECT(ADDRESS(ROW(),COLUMN()-1,4)),UNSPSCCode,0)),IF(INDIRECT(ADDRESS(ROW(),COLUMN()-1,4))="51142001","Acetaminofén",""))</f>
        <v>Acetaminofén</v>
      </c>
      <c r="C307" s="32" t="str">
        <f>IFERROR(VLOOKUP("CAJ",'[1]Informacion '!P:Q,2,FALSE),"")</f>
        <v>Caja</v>
      </c>
      <c r="D307" s="30">
        <v>50</v>
      </c>
      <c r="E307" s="33">
        <v>225</v>
      </c>
      <c r="F307" s="34">
        <f t="shared" ca="1" si="3"/>
        <v>11250</v>
      </c>
      <c r="G307" s="21"/>
    </row>
    <row r="308" spans="1:7" ht="16.5" x14ac:dyDescent="0.25">
      <c r="A308" s="30" t="s">
        <v>124</v>
      </c>
      <c r="B308" s="31" t="str">
        <f ca="1">IFERROR(INDEX(UNSPSCDes,MATCH(INDIRECT(ADDRESS(ROW(),COLUMN()-1,4)),UNSPSCCode,0)),IF(INDIRECT(ADDRESS(ROW(),COLUMN()-1,4))="51161647","Bromfeniramina",""))</f>
        <v>Bromfeniramina</v>
      </c>
      <c r="C308" s="32" t="str">
        <f>IFERROR(VLOOKUP("CAJ",'[1]Informacion '!P:Q,2,FALSE),"")</f>
        <v>Caja</v>
      </c>
      <c r="D308" s="30">
        <v>50</v>
      </c>
      <c r="E308" s="33">
        <v>500</v>
      </c>
      <c r="F308" s="34">
        <f t="shared" ca="1" si="3"/>
        <v>25000</v>
      </c>
      <c r="G308" s="21"/>
    </row>
    <row r="309" spans="1:7" ht="16.5" x14ac:dyDescent="0.25">
      <c r="A309" s="30" t="s">
        <v>125</v>
      </c>
      <c r="B309" s="31" t="str">
        <f ca="1">IFERROR(INDEX(UNSPSCDes,MATCH(INDIRECT(ADDRESS(ROW(),COLUMN()-1,4)),UNSPSCCode,0)),IF(INDIRECT(ADDRESS(ROW(),COLUMN()-1,4))="51142002","Ácido acetilsalicílico",""))</f>
        <v>Ácido acetilsalicílico</v>
      </c>
      <c r="C309" s="32" t="str">
        <f>IFERROR(VLOOKUP("CAJ",'[1]Informacion '!P:Q,2,FALSE),"")</f>
        <v>Caja</v>
      </c>
      <c r="D309" s="30">
        <v>70</v>
      </c>
      <c r="E309" s="33">
        <v>160</v>
      </c>
      <c r="F309" s="34">
        <f t="shared" ca="1" si="3"/>
        <v>11200</v>
      </c>
      <c r="G309" s="21"/>
    </row>
    <row r="310" spans="1:7" ht="56.25" x14ac:dyDescent="0.25">
      <c r="A310" s="30" t="s">
        <v>126</v>
      </c>
      <c r="B310" s="31" t="str">
        <f ca="1">IFERROR(INDEX(UNSPSCDes,MATCH(INDIRECT(ADDRESS(ROW(),COLUMN()-1,4)),UNSPSCCode,0)),IF(INDIRECT(ADDRESS(ROW(),COLUMN()-1,4))="42142108","Almohadillas o compresas o bolsas de calentamiento o enfriamiento terapéutico",""))</f>
        <v>Almohadillas o compresas o bolsas de calentamiento o enfriamiento terapéutico</v>
      </c>
      <c r="C310" s="32" t="str">
        <f>IFERROR(VLOOKUP("PAQ",'[1]Informacion '!P:Q,2,FALSE),"")</f>
        <v>Paquete</v>
      </c>
      <c r="D310" s="30">
        <v>100</v>
      </c>
      <c r="E310" s="33">
        <v>120</v>
      </c>
      <c r="F310" s="34">
        <f t="shared" ca="1" si="3"/>
        <v>12000</v>
      </c>
      <c r="G310" s="21"/>
    </row>
    <row r="311" spans="1:7" ht="16.5" x14ac:dyDescent="0.25">
      <c r="A311" s="21"/>
      <c r="B311" s="21"/>
      <c r="C311" s="21"/>
      <c r="D311" s="21"/>
      <c r="E311" s="35" t="s">
        <v>56</v>
      </c>
      <c r="F311" s="36">
        <f ca="1">SUM(Table26[MONTO TOTAL ESTIMADO])</f>
        <v>203150</v>
      </c>
      <c r="G311" s="21"/>
    </row>
    <row r="312" spans="1:7" ht="17.25" thickBot="1" x14ac:dyDescent="0.3">
      <c r="A312" s="21"/>
      <c r="B312" s="21"/>
      <c r="C312" s="21"/>
      <c r="D312" s="21"/>
      <c r="E312" s="21"/>
      <c r="F312" s="21"/>
      <c r="G312" s="21"/>
    </row>
    <row r="313" spans="1:7" ht="23.25" thickBot="1" x14ac:dyDescent="0.3">
      <c r="A313" s="22" t="s">
        <v>19</v>
      </c>
      <c r="B313" s="22" t="s">
        <v>20</v>
      </c>
      <c r="C313" s="22" t="s">
        <v>21</v>
      </c>
      <c r="D313" s="22" t="s">
        <v>22</v>
      </c>
      <c r="E313" s="22" t="s">
        <v>23</v>
      </c>
      <c r="F313" s="22" t="s">
        <v>24</v>
      </c>
      <c r="G313" s="21"/>
    </row>
    <row r="314" spans="1:7" ht="17.25" thickBot="1" x14ac:dyDescent="0.3">
      <c r="A314" s="23" t="s">
        <v>127</v>
      </c>
      <c r="B314" s="23" t="s">
        <v>128</v>
      </c>
      <c r="C314" s="23" t="s">
        <v>27</v>
      </c>
      <c r="D314" s="23" t="s">
        <v>58</v>
      </c>
      <c r="E314" s="23" t="s">
        <v>129</v>
      </c>
      <c r="F314" s="23"/>
      <c r="G314" s="21"/>
    </row>
    <row r="315" spans="1:7" ht="17.25" thickBot="1" x14ac:dyDescent="0.3">
      <c r="A315" s="45" t="s">
        <v>30</v>
      </c>
      <c r="B315" s="24" t="s">
        <v>31</v>
      </c>
      <c r="C315" s="25">
        <v>44391</v>
      </c>
      <c r="D315" s="45" t="s">
        <v>32</v>
      </c>
      <c r="E315" s="26" t="s">
        <v>33</v>
      </c>
      <c r="F315" s="27" t="s">
        <v>34</v>
      </c>
      <c r="G315" s="21"/>
    </row>
    <row r="316" spans="1:7" ht="17.25" thickBot="1" x14ac:dyDescent="0.3">
      <c r="A316" s="46"/>
      <c r="B316" s="24" t="s">
        <v>35</v>
      </c>
      <c r="C316" s="28">
        <f>IF(C315="","",IF(AND(MONTH(C315)&gt;=1,MONTH(C315)&lt;=3),1,IF(AND(MONTH(C315)&gt;=4,MONTH(C315)&lt;=6),2,IF(AND(MONTH(C315)&gt;=7,MONTH(C315)&lt;=9),3,4))))</f>
        <v>3</v>
      </c>
      <c r="D316" s="46"/>
      <c r="E316" s="26" t="s">
        <v>36</v>
      </c>
      <c r="F316" s="27" t="s">
        <v>37</v>
      </c>
      <c r="G316" s="21"/>
    </row>
    <row r="317" spans="1:7" ht="17.25" thickBot="1" x14ac:dyDescent="0.3">
      <c r="A317" s="46"/>
      <c r="B317" s="24" t="s">
        <v>38</v>
      </c>
      <c r="C317" s="25">
        <v>44398</v>
      </c>
      <c r="D317" s="46"/>
      <c r="E317" s="26" t="s">
        <v>39</v>
      </c>
      <c r="F317" s="27" t="s">
        <v>37</v>
      </c>
      <c r="G317" s="21"/>
    </row>
    <row r="318" spans="1:7" ht="17.25" thickBot="1" x14ac:dyDescent="0.3">
      <c r="A318" s="46"/>
      <c r="B318" s="24" t="s">
        <v>35</v>
      </c>
      <c r="C318" s="28">
        <f>IF(C317="","",IF(AND(MONTH(C317)&gt;=1,MONTH(C317)&lt;=3),1,IF(AND(MONTH(C317)&gt;=4,MONTH(C317)&lt;=6),2,IF(AND(MONTH(C317)&gt;=7,MONTH(C317)&lt;=9),3,4))))</f>
        <v>3</v>
      </c>
      <c r="D318" s="46"/>
      <c r="E318" s="26" t="s">
        <v>40</v>
      </c>
      <c r="F318" s="27"/>
      <c r="G318" s="21"/>
    </row>
    <row r="319" spans="1:7" ht="17.25" thickBot="1" x14ac:dyDescent="0.3">
      <c r="A319" s="21"/>
      <c r="B319" s="21"/>
      <c r="C319" s="21"/>
      <c r="D319" s="21"/>
      <c r="E319" s="21"/>
      <c r="F319" s="21"/>
      <c r="G319" s="21"/>
    </row>
    <row r="320" spans="1:7" ht="17.25" thickBot="1" x14ac:dyDescent="0.3">
      <c r="A320" s="29" t="s">
        <v>41</v>
      </c>
      <c r="B320" s="29" t="s">
        <v>42</v>
      </c>
      <c r="C320" s="29" t="s">
        <v>43</v>
      </c>
      <c r="D320" s="29" t="s">
        <v>44</v>
      </c>
      <c r="E320" s="29" t="s">
        <v>45</v>
      </c>
      <c r="F320" s="29" t="s">
        <v>46</v>
      </c>
      <c r="G320" s="21"/>
    </row>
    <row r="321" spans="1:7" ht="22.5" x14ac:dyDescent="0.25">
      <c r="A321" s="30" t="s">
        <v>130</v>
      </c>
      <c r="B321" s="31" t="str">
        <f ca="1">IFERROR(INDEX(UNSPSCDes,MATCH(INDIRECT(ADDRESS(ROW(),COLUMN()-1,4)),UNSPSCCode,0)),IF(INDIRECT(ADDRESS(ROW(),COLUMN()-1,4))="14111507","Papel para impresora o fotocopiadora",""))</f>
        <v>Papel para impresora o fotocopiadora</v>
      </c>
      <c r="C321" s="32" t="str">
        <f>IFERROR(VLOOKUP("RESMA",'[1]Informacion '!P:Q,2,FALSE),"")</f>
        <v>Resma</v>
      </c>
      <c r="D321" s="30">
        <v>1200</v>
      </c>
      <c r="E321" s="33">
        <v>190</v>
      </c>
      <c r="F321" s="34">
        <f t="shared" ref="F321:F368" ca="1" si="4">INDIRECT(ADDRESS(ROW(),COLUMN()-2,4))*INDIRECT(ADDRESS(ROW(),COLUMN()-1,4))</f>
        <v>228000</v>
      </c>
      <c r="G321" s="21"/>
    </row>
    <row r="322" spans="1:7" ht="16.5" x14ac:dyDescent="0.25">
      <c r="A322" s="30" t="s">
        <v>131</v>
      </c>
      <c r="B322" s="31" t="str">
        <f ca="1">IFERROR(INDEX(UNSPSCDes,MATCH(INDIRECT(ADDRESS(ROW(),COLUMN()-1,4)),UNSPSCCode,0)),IF(INDIRECT(ADDRESS(ROW(),COLUMN()-1,4))="24121503","Cajas para empacar",""))</f>
        <v>Cajas para empacar</v>
      </c>
      <c r="C322" s="32" t="str">
        <f>IFERROR(VLOOKUP("UD",'[1]Informacion '!P:Q,2,FALSE),"")</f>
        <v>Unidad</v>
      </c>
      <c r="D322" s="30">
        <v>800</v>
      </c>
      <c r="E322" s="33">
        <v>80</v>
      </c>
      <c r="F322" s="34">
        <f t="shared" ca="1" si="4"/>
        <v>64000</v>
      </c>
      <c r="G322" s="21"/>
    </row>
    <row r="323" spans="1:7" ht="16.5" x14ac:dyDescent="0.25">
      <c r="A323" s="30" t="s">
        <v>132</v>
      </c>
      <c r="B323" s="31" t="str">
        <f ca="1">IFERROR(INDEX(UNSPSCDes,MATCH(INDIRECT(ADDRESS(ROW(),COLUMN()-1,4)),UNSPSCCode,0)),IF(INDIRECT(ADDRESS(ROW(),COLUMN()-1,4))="14111537","Etiquetas de papel",""))</f>
        <v>Etiquetas de papel</v>
      </c>
      <c r="C323" s="32" t="str">
        <f>IFERROR(VLOOKUP("CAJ",'[1]Informacion '!P:Q,2,FALSE),"")</f>
        <v>Caja</v>
      </c>
      <c r="D323" s="30">
        <v>15</v>
      </c>
      <c r="E323" s="33">
        <v>50</v>
      </c>
      <c r="F323" s="34">
        <f t="shared" ca="1" si="4"/>
        <v>750</v>
      </c>
      <c r="G323" s="21"/>
    </row>
    <row r="324" spans="1:7" ht="33.75" x14ac:dyDescent="0.25">
      <c r="A324" s="30" t="s">
        <v>133</v>
      </c>
      <c r="B324" s="31" t="str">
        <f ca="1">IFERROR(INDEX(UNSPSCDes,MATCH(INDIRECT(ADDRESS(ROW(),COLUMN()-1,4)),UNSPSCCode,0)),IF(INDIRECT(ADDRESS(ROW(),COLUMN()-1,4))="14111526","Papel libretas o libros de mensajes telefónicos",""))</f>
        <v>Papel libretas o libros de mensajes telefónicos</v>
      </c>
      <c r="C324" s="32" t="str">
        <f>IFERROR(VLOOKUP("UD",'[1]Informacion '!P:Q,2,FALSE),"")</f>
        <v>Unidad</v>
      </c>
      <c r="D324" s="30">
        <v>50</v>
      </c>
      <c r="E324" s="33">
        <v>40</v>
      </c>
      <c r="F324" s="34">
        <f t="shared" ca="1" si="4"/>
        <v>2000</v>
      </c>
      <c r="G324" s="21"/>
    </row>
    <row r="325" spans="1:7" ht="33.75" x14ac:dyDescent="0.25">
      <c r="A325" s="30" t="s">
        <v>133</v>
      </c>
      <c r="B325" s="31" t="str">
        <f ca="1">IFERROR(INDEX(UNSPSCDes,MATCH(INDIRECT(ADDRESS(ROW(),COLUMN()-1,4)),UNSPSCCode,0)),IF(INDIRECT(ADDRESS(ROW(),COLUMN()-1,4))="14111526","Papel libretas o libros de mensajes telefónicos",""))</f>
        <v>Papel libretas o libros de mensajes telefónicos</v>
      </c>
      <c r="C325" s="32" t="str">
        <f>IFERROR(VLOOKUP("UD",'[1]Informacion '!P:Q,2,FALSE),"")</f>
        <v>Unidad</v>
      </c>
      <c r="D325" s="30">
        <v>50</v>
      </c>
      <c r="E325" s="33">
        <v>15</v>
      </c>
      <c r="F325" s="34">
        <f t="shared" ca="1" si="4"/>
        <v>750</v>
      </c>
      <c r="G325" s="21"/>
    </row>
    <row r="326" spans="1:7" ht="33.75" x14ac:dyDescent="0.25">
      <c r="A326" s="30" t="s">
        <v>134</v>
      </c>
      <c r="B326" s="31" t="str">
        <f ca="1">IFERROR(INDEX(UNSPSCDes,MATCH(INDIRECT(ADDRESS(ROW(),COLUMN()-1,4)),UNSPSCCode,0)),IF(INDIRECT(ADDRESS(ROW(),COLUMN()-1,4))="14111531","Papel libros o cuadernos para bitácoras",""))</f>
        <v>Papel libros o cuadernos para bitácoras</v>
      </c>
      <c r="C326" s="32" t="str">
        <f>IFERROR(VLOOKUP("UD",'[1]Informacion '!P:Q,2,FALSE),"")</f>
        <v>Unidad</v>
      </c>
      <c r="D326" s="30">
        <v>40</v>
      </c>
      <c r="E326" s="33">
        <v>255</v>
      </c>
      <c r="F326" s="34">
        <f t="shared" ca="1" si="4"/>
        <v>10200</v>
      </c>
      <c r="G326" s="21"/>
    </row>
    <row r="327" spans="1:7" ht="16.5" x14ac:dyDescent="0.25">
      <c r="A327" s="30" t="s">
        <v>135</v>
      </c>
      <c r="B327" s="31" t="str">
        <f ca="1">IFERROR(INDEX(UNSPSCDes,MATCH(INDIRECT(ADDRESS(ROW(),COLUMN()-1,4)),UNSPSCCode,0)),IF(INDIRECT(ADDRESS(ROW(),COLUMN()-1,4))="44122003","Carpetas",""))</f>
        <v>Carpetas</v>
      </c>
      <c r="C327" s="32" t="str">
        <f>IFERROR(VLOOKUP("UD",'[1]Informacion '!P:Q,2,FALSE),"")</f>
        <v>Unidad</v>
      </c>
      <c r="D327" s="30">
        <v>30</v>
      </c>
      <c r="E327" s="33">
        <v>120</v>
      </c>
      <c r="F327" s="34">
        <f t="shared" ca="1" si="4"/>
        <v>3600</v>
      </c>
      <c r="G327" s="21"/>
    </row>
    <row r="328" spans="1:7" ht="16.5" x14ac:dyDescent="0.25">
      <c r="A328" s="30" t="s">
        <v>135</v>
      </c>
      <c r="B328" s="31" t="str">
        <f ca="1">IFERROR(INDEX(UNSPSCDes,MATCH(INDIRECT(ADDRESS(ROW(),COLUMN()-1,4)),UNSPSCCode,0)),IF(INDIRECT(ADDRESS(ROW(),COLUMN()-1,4))="44122003","Carpetas",""))</f>
        <v>Carpetas</v>
      </c>
      <c r="C328" s="32" t="str">
        <f>IFERROR(VLOOKUP("UD",'[1]Informacion '!P:Q,2,FALSE),"")</f>
        <v>Unidad</v>
      </c>
      <c r="D328" s="30">
        <v>20</v>
      </c>
      <c r="E328" s="33">
        <v>150</v>
      </c>
      <c r="F328" s="34">
        <f t="shared" ca="1" si="4"/>
        <v>3000</v>
      </c>
      <c r="G328" s="21"/>
    </row>
    <row r="329" spans="1:7" ht="16.5" x14ac:dyDescent="0.25">
      <c r="A329" s="30" t="s">
        <v>135</v>
      </c>
      <c r="B329" s="31" t="str">
        <f ca="1">IFERROR(INDEX(UNSPSCDes,MATCH(INDIRECT(ADDRESS(ROW(),COLUMN()-1,4)),UNSPSCCode,0)),IF(INDIRECT(ADDRESS(ROW(),COLUMN()-1,4))="44122003","Carpetas",""))</f>
        <v>Carpetas</v>
      </c>
      <c r="C329" s="32" t="str">
        <f>IFERROR(VLOOKUP("UD",'[1]Informacion '!P:Q,2,FALSE),"")</f>
        <v>Unidad</v>
      </c>
      <c r="D329" s="30">
        <v>30</v>
      </c>
      <c r="E329" s="33">
        <v>215</v>
      </c>
      <c r="F329" s="34">
        <f t="shared" ca="1" si="4"/>
        <v>6450</v>
      </c>
      <c r="G329" s="21"/>
    </row>
    <row r="330" spans="1:7" ht="16.5" x14ac:dyDescent="0.25">
      <c r="A330" s="30" t="s">
        <v>135</v>
      </c>
      <c r="B330" s="31" t="str">
        <f ca="1">IFERROR(INDEX(UNSPSCDes,MATCH(INDIRECT(ADDRESS(ROW(),COLUMN()-1,4)),UNSPSCCode,0)),IF(INDIRECT(ADDRESS(ROW(),COLUMN()-1,4))="44122003","Carpetas",""))</f>
        <v>Carpetas</v>
      </c>
      <c r="C330" s="32" t="str">
        <f>IFERROR(VLOOKUP("UD",'[1]Informacion '!P:Q,2,FALSE),"")</f>
        <v>Unidad</v>
      </c>
      <c r="D330" s="30">
        <v>85</v>
      </c>
      <c r="E330" s="33">
        <v>350</v>
      </c>
      <c r="F330" s="34">
        <f t="shared" ca="1" si="4"/>
        <v>29750</v>
      </c>
      <c r="G330" s="21"/>
    </row>
    <row r="331" spans="1:7" ht="16.5" x14ac:dyDescent="0.25">
      <c r="A331" s="30" t="s">
        <v>136</v>
      </c>
      <c r="B331" s="31" t="str">
        <f ca="1">IFERROR(INDEX(UNSPSCDes,MATCH(INDIRECT(ADDRESS(ROW(),COLUMN()-1,4)),UNSPSCCode,0)),IF(INDIRECT(ADDRESS(ROW(),COLUMN()-1,4))="31201512","Cinta transparente",""))</f>
        <v>Cinta transparente</v>
      </c>
      <c r="C331" s="32" t="str">
        <f>IFERROR(VLOOKUP("UD",'[1]Informacion '!P:Q,2,FALSE),"")</f>
        <v>Unidad</v>
      </c>
      <c r="D331" s="30">
        <v>100</v>
      </c>
      <c r="E331" s="33">
        <v>50</v>
      </c>
      <c r="F331" s="34">
        <f t="shared" ca="1" si="4"/>
        <v>5000</v>
      </c>
      <c r="G331" s="21"/>
    </row>
    <row r="332" spans="1:7" ht="16.5" x14ac:dyDescent="0.25">
      <c r="A332" s="30" t="s">
        <v>136</v>
      </c>
      <c r="B332" s="31" t="str">
        <f ca="1">IFERROR(INDEX(UNSPSCDes,MATCH(INDIRECT(ADDRESS(ROW(),COLUMN()-1,4)),UNSPSCCode,0)),IF(INDIRECT(ADDRESS(ROW(),COLUMN()-1,4))="31201512","Cinta transparente",""))</f>
        <v>Cinta transparente</v>
      </c>
      <c r="C332" s="32" t="str">
        <f>IFERROR(VLOOKUP("UD",'[1]Informacion '!P:Q,2,FALSE),"")</f>
        <v>Unidad</v>
      </c>
      <c r="D332" s="30">
        <v>100</v>
      </c>
      <c r="E332" s="33">
        <v>60</v>
      </c>
      <c r="F332" s="34">
        <f t="shared" ca="1" si="4"/>
        <v>6000</v>
      </c>
      <c r="G332" s="21"/>
    </row>
    <row r="333" spans="1:7" ht="16.5" x14ac:dyDescent="0.25">
      <c r="A333" s="30" t="s">
        <v>137</v>
      </c>
      <c r="B333" s="31" t="str">
        <f ca="1">IFERROR(INDEX(UNSPSCDes,MATCH(INDIRECT(ADDRESS(ROW(),COLUMN()-1,4)),UNSPSCCode,0)),IF(INDIRECT(ADDRESS(ROW(),COLUMN()-1,4))="44122104","Clips para papel",""))</f>
        <v>Clips para papel</v>
      </c>
      <c r="C333" s="32" t="str">
        <f>IFERROR(VLOOKUP("CAJ",'[1]Informacion '!P:Q,2,FALSE),"")</f>
        <v>Caja</v>
      </c>
      <c r="D333" s="30">
        <v>60</v>
      </c>
      <c r="E333" s="33">
        <v>40</v>
      </c>
      <c r="F333" s="34">
        <f t="shared" ca="1" si="4"/>
        <v>2400</v>
      </c>
      <c r="G333" s="21"/>
    </row>
    <row r="334" spans="1:7" ht="16.5" x14ac:dyDescent="0.25">
      <c r="A334" s="30" t="s">
        <v>137</v>
      </c>
      <c r="B334" s="31" t="str">
        <f ca="1">IFERROR(INDEX(UNSPSCDes,MATCH(INDIRECT(ADDRESS(ROW(),COLUMN()-1,4)),UNSPSCCode,0)),IF(INDIRECT(ADDRESS(ROW(),COLUMN()-1,4))="44122104","Clips para papel",""))</f>
        <v>Clips para papel</v>
      </c>
      <c r="C334" s="32" t="str">
        <f>IFERROR(VLOOKUP("CAJ",'[1]Informacion '!P:Q,2,FALSE),"")</f>
        <v>Caja</v>
      </c>
      <c r="D334" s="30">
        <v>50</v>
      </c>
      <c r="E334" s="33">
        <v>90</v>
      </c>
      <c r="F334" s="34">
        <f t="shared" ca="1" si="4"/>
        <v>4500</v>
      </c>
      <c r="G334" s="21"/>
    </row>
    <row r="335" spans="1:7" ht="16.5" x14ac:dyDescent="0.25">
      <c r="A335" s="30" t="s">
        <v>137</v>
      </c>
      <c r="B335" s="31" t="str">
        <f ca="1">IFERROR(INDEX(UNSPSCDes,MATCH(INDIRECT(ADDRESS(ROW(),COLUMN()-1,4)),UNSPSCCode,0)),IF(INDIRECT(ADDRESS(ROW(),COLUMN()-1,4))="44122104","Clips para papel",""))</f>
        <v>Clips para papel</v>
      </c>
      <c r="C335" s="32" t="str">
        <f>IFERROR(VLOOKUP("CAJ",'[1]Informacion '!P:Q,2,FALSE),"")</f>
        <v>Caja</v>
      </c>
      <c r="D335" s="30">
        <v>50</v>
      </c>
      <c r="E335" s="33">
        <v>20</v>
      </c>
      <c r="F335" s="34">
        <f t="shared" ca="1" si="4"/>
        <v>1000</v>
      </c>
      <c r="G335" s="21"/>
    </row>
    <row r="336" spans="1:7" ht="16.5" x14ac:dyDescent="0.25">
      <c r="A336" s="30" t="s">
        <v>137</v>
      </c>
      <c r="B336" s="31" t="str">
        <f ca="1">IFERROR(INDEX(UNSPSCDes,MATCH(INDIRECT(ADDRESS(ROW(),COLUMN()-1,4)),UNSPSCCode,0)),IF(INDIRECT(ADDRESS(ROW(),COLUMN()-1,4))="44122104","Clips para papel",""))</f>
        <v>Clips para papel</v>
      </c>
      <c r="C336" s="32" t="str">
        <f>IFERROR(VLOOKUP("CAJ",'[1]Informacion '!P:Q,2,FALSE),"")</f>
        <v>Caja</v>
      </c>
      <c r="D336" s="30">
        <v>70</v>
      </c>
      <c r="E336" s="33">
        <v>15</v>
      </c>
      <c r="F336" s="34">
        <f t="shared" ca="1" si="4"/>
        <v>1050</v>
      </c>
      <c r="G336" s="21"/>
    </row>
    <row r="337" spans="1:7" ht="16.5" x14ac:dyDescent="0.25">
      <c r="A337" s="30" t="s">
        <v>137</v>
      </c>
      <c r="B337" s="31" t="str">
        <f ca="1">IFERROR(INDEX(UNSPSCDes,MATCH(INDIRECT(ADDRESS(ROW(),COLUMN()-1,4)),UNSPSCCode,0)),IF(INDIRECT(ADDRESS(ROW(),COLUMN()-1,4))="44122104","Clips para papel",""))</f>
        <v>Clips para papel</v>
      </c>
      <c r="C337" s="32" t="str">
        <f>IFERROR(VLOOKUP("CAJ",'[1]Informacion '!P:Q,2,FALSE),"")</f>
        <v>Caja</v>
      </c>
      <c r="D337" s="30">
        <v>50</v>
      </c>
      <c r="E337" s="33">
        <v>30</v>
      </c>
      <c r="F337" s="34">
        <f t="shared" ca="1" si="4"/>
        <v>1500</v>
      </c>
      <c r="G337" s="21"/>
    </row>
    <row r="338" spans="1:7" ht="33.75" x14ac:dyDescent="0.25">
      <c r="A338" s="30" t="s">
        <v>138</v>
      </c>
      <c r="B338" s="31" t="str">
        <f ca="1">IFERROR(INDEX(UNSPSCDes,MATCH(INDIRECT(ADDRESS(ROW(),COLUMN()-1,4)),UNSPSCCode,0)),IF(INDIRECT(ADDRESS(ROW(),COLUMN()-1,4))="43201811","Disco versátil digital dvd de lectura y escritura",""))</f>
        <v>Disco versátil digital dvd de lectura y escritura</v>
      </c>
      <c r="C338" s="32" t="str">
        <f>IFERROR(VLOOKUP("UD",'[1]Informacion '!P:Q,2,FALSE),"")</f>
        <v>Unidad</v>
      </c>
      <c r="D338" s="30">
        <v>70</v>
      </c>
      <c r="E338" s="33">
        <v>15</v>
      </c>
      <c r="F338" s="34">
        <f t="shared" ca="1" si="4"/>
        <v>1050</v>
      </c>
      <c r="G338" s="21"/>
    </row>
    <row r="339" spans="1:7" ht="16.5" x14ac:dyDescent="0.25">
      <c r="A339" s="30" t="s">
        <v>139</v>
      </c>
      <c r="B339" s="31" t="str">
        <f ca="1">IFERROR(INDEX(UNSPSCDes,MATCH(INDIRECT(ADDRESS(ROW(),COLUMN()-1,4)),UNSPSCCode,0)),IF(INDIRECT(ADDRESS(ROW(),COLUMN()-1,4))="44122011","Folders",""))</f>
        <v>Folders</v>
      </c>
      <c r="C339" s="32" t="str">
        <f>IFERROR(VLOOKUP("CAJ",'[1]Informacion '!P:Q,2,FALSE),"")</f>
        <v>Caja</v>
      </c>
      <c r="D339" s="30">
        <v>2</v>
      </c>
      <c r="E339" s="33">
        <v>650</v>
      </c>
      <c r="F339" s="34">
        <f t="shared" ca="1" si="4"/>
        <v>1300</v>
      </c>
      <c r="G339" s="21"/>
    </row>
    <row r="340" spans="1:7" ht="16.5" x14ac:dyDescent="0.25">
      <c r="A340" s="30" t="s">
        <v>139</v>
      </c>
      <c r="B340" s="31" t="str">
        <f ca="1">IFERROR(INDEX(UNSPSCDes,MATCH(INDIRECT(ADDRESS(ROW(),COLUMN()-1,4)),UNSPSCCode,0)),IF(INDIRECT(ADDRESS(ROW(),COLUMN()-1,4))="44122011","Folders",""))</f>
        <v>Folders</v>
      </c>
      <c r="C340" s="32" t="str">
        <f>IFERROR(VLOOKUP("CAJ",'[1]Informacion '!P:Q,2,FALSE),"")</f>
        <v>Caja</v>
      </c>
      <c r="D340" s="30">
        <v>120</v>
      </c>
      <c r="E340" s="33">
        <v>260</v>
      </c>
      <c r="F340" s="34">
        <f t="shared" ca="1" si="4"/>
        <v>31200</v>
      </c>
      <c r="G340" s="21"/>
    </row>
    <row r="341" spans="1:7" ht="16.5" x14ac:dyDescent="0.25">
      <c r="A341" s="30" t="s">
        <v>139</v>
      </c>
      <c r="B341" s="31" t="str">
        <f ca="1">IFERROR(INDEX(UNSPSCDes,MATCH(INDIRECT(ADDRESS(ROW(),COLUMN()-1,4)),UNSPSCCode,0)),IF(INDIRECT(ADDRESS(ROW(),COLUMN()-1,4))="44122011","Folders",""))</f>
        <v>Folders</v>
      </c>
      <c r="C341" s="32" t="str">
        <f>IFERROR(VLOOKUP("CAJ",'[1]Informacion '!P:Q,2,FALSE),"")</f>
        <v>Caja</v>
      </c>
      <c r="D341" s="30">
        <v>10</v>
      </c>
      <c r="E341" s="33">
        <v>400</v>
      </c>
      <c r="F341" s="34">
        <f t="shared" ca="1" si="4"/>
        <v>4000</v>
      </c>
      <c r="G341" s="21"/>
    </row>
    <row r="342" spans="1:7" ht="16.5" x14ac:dyDescent="0.25">
      <c r="A342" s="30" t="s">
        <v>139</v>
      </c>
      <c r="B342" s="31" t="str">
        <f ca="1">IFERROR(INDEX(UNSPSCDes,MATCH(INDIRECT(ADDRESS(ROW(),COLUMN()-1,4)),UNSPSCCode,0)),IF(INDIRECT(ADDRESS(ROW(),COLUMN()-1,4))="44122011","Folders",""))</f>
        <v>Folders</v>
      </c>
      <c r="C342" s="32" t="str">
        <f>IFERROR(VLOOKUP("CAJ",'[1]Informacion '!P:Q,2,FALSE),"")</f>
        <v>Caja</v>
      </c>
      <c r="D342" s="30">
        <v>5</v>
      </c>
      <c r="E342" s="33">
        <v>1200</v>
      </c>
      <c r="F342" s="34">
        <f t="shared" ca="1" si="4"/>
        <v>6000</v>
      </c>
      <c r="G342" s="21"/>
    </row>
    <row r="343" spans="1:7" ht="22.5" x14ac:dyDescent="0.25">
      <c r="A343" s="30" t="s">
        <v>140</v>
      </c>
      <c r="B343" s="31" t="str">
        <f ca="1">IFERROR(INDEX(UNSPSCDes,MATCH(INDIRECT(ADDRESS(ROW(),COLUMN()-1,4)),UNSPSCCode,0)),IF(INDIRECT(ADDRESS(ROW(),COLUMN()-1,4))="44121611","Punzones para papel u ojales",""))</f>
        <v>Punzones para papel u ojales</v>
      </c>
      <c r="C343" s="32" t="str">
        <f>IFERROR(VLOOKUP("CAJ",'[1]Informacion '!P:Q,2,FALSE),"")</f>
        <v>Caja</v>
      </c>
      <c r="D343" s="30">
        <v>300</v>
      </c>
      <c r="E343" s="33">
        <v>45</v>
      </c>
      <c r="F343" s="34">
        <f t="shared" ca="1" si="4"/>
        <v>13500</v>
      </c>
      <c r="G343" s="21"/>
    </row>
    <row r="344" spans="1:7" ht="16.5" x14ac:dyDescent="0.25">
      <c r="A344" s="30" t="s">
        <v>141</v>
      </c>
      <c r="B344" s="31" t="str">
        <f ca="1">IFERROR(INDEX(UNSPSCDes,MATCH(INDIRECT(ADDRESS(ROW(),COLUMN()-1,4)),UNSPSCCode,0)),IF(INDIRECT(ADDRESS(ROW(),COLUMN()-1,4))="44122107","Grapas",""))</f>
        <v>Grapas</v>
      </c>
      <c r="C344" s="32" t="str">
        <f>IFERROR(VLOOKUP("CAJ",'[1]Informacion '!P:Q,2,FALSE),"")</f>
        <v>Caja</v>
      </c>
      <c r="D344" s="30">
        <v>150</v>
      </c>
      <c r="E344" s="33">
        <v>35</v>
      </c>
      <c r="F344" s="34">
        <f t="shared" ca="1" si="4"/>
        <v>5250</v>
      </c>
      <c r="G344" s="21"/>
    </row>
    <row r="345" spans="1:7" ht="16.5" x14ac:dyDescent="0.25">
      <c r="A345" s="30" t="s">
        <v>142</v>
      </c>
      <c r="B345" s="31" t="str">
        <f ca="1">IFERROR(INDEX(UNSPSCDes,MATCH(INDIRECT(ADDRESS(ROW(),COLUMN()-1,4)),UNSPSCCode,0)),IF(INDIRECT(ADDRESS(ROW(),COLUMN()-1,4))="44121615","Grapadoras",""))</f>
        <v>Grapadoras</v>
      </c>
      <c r="C345" s="32" t="str">
        <f>IFERROR(VLOOKUP("UD",'[1]Informacion '!P:Q,2,FALSE),"")</f>
        <v>Unidad</v>
      </c>
      <c r="D345" s="30">
        <v>100</v>
      </c>
      <c r="E345" s="33">
        <v>220</v>
      </c>
      <c r="F345" s="34">
        <f t="shared" ca="1" si="4"/>
        <v>22000</v>
      </c>
      <c r="G345" s="21"/>
    </row>
    <row r="346" spans="1:7" ht="16.5" x14ac:dyDescent="0.25">
      <c r="A346" s="30" t="s">
        <v>142</v>
      </c>
      <c r="B346" s="31" t="str">
        <f ca="1">IFERROR(INDEX(UNSPSCDes,MATCH(INDIRECT(ADDRESS(ROW(),COLUMN()-1,4)),UNSPSCCode,0)),IF(INDIRECT(ADDRESS(ROW(),COLUMN()-1,4))="44121615","Grapadoras",""))</f>
        <v>Grapadoras</v>
      </c>
      <c r="C346" s="32" t="str">
        <f>IFERROR(VLOOKUP("UD",'[1]Informacion '!P:Q,2,FALSE),"")</f>
        <v>Unidad</v>
      </c>
      <c r="D346" s="30">
        <v>15</v>
      </c>
      <c r="E346" s="33">
        <v>600</v>
      </c>
      <c r="F346" s="34">
        <f t="shared" ca="1" si="4"/>
        <v>9000</v>
      </c>
      <c r="G346" s="21"/>
    </row>
    <row r="347" spans="1:7" ht="16.5" x14ac:dyDescent="0.25">
      <c r="A347" s="30" t="s">
        <v>143</v>
      </c>
      <c r="B347" s="31" t="str">
        <f ca="1">IFERROR(INDEX(UNSPSCDes,MATCH(INDIRECT(ADDRESS(ROW(),COLUMN()-1,4)),UNSPSCCode,0)),IF(INDIRECT(ADDRESS(ROW(),COLUMN()-1,4))="44121701","Bolígrafos",""))</f>
        <v>Bolígrafos</v>
      </c>
      <c r="C347" s="32" t="str">
        <f>IFERROR(VLOOKUP("CAJ",'[1]Informacion '!P:Q,2,FALSE),"")</f>
        <v>Caja</v>
      </c>
      <c r="D347" s="30">
        <v>150</v>
      </c>
      <c r="E347" s="33">
        <v>55</v>
      </c>
      <c r="F347" s="34">
        <f t="shared" ca="1" si="4"/>
        <v>8250</v>
      </c>
      <c r="G347" s="21"/>
    </row>
    <row r="348" spans="1:7" ht="16.5" x14ac:dyDescent="0.25">
      <c r="A348" s="30" t="s">
        <v>144</v>
      </c>
      <c r="B348" s="31" t="str">
        <f ca="1">IFERROR(INDEX(UNSPSCDes,MATCH(INDIRECT(ADDRESS(ROW(),COLUMN()-1,4)),UNSPSCCode,0)),IF(INDIRECT(ADDRESS(ROW(),COLUMN()-1,4))="44121716","Resaltadores",""))</f>
        <v>Resaltadores</v>
      </c>
      <c r="C348" s="32" t="str">
        <f>IFERROR(VLOOKUP("CAJ",'[1]Informacion '!P:Q,2,FALSE),"")</f>
        <v>Caja</v>
      </c>
      <c r="D348" s="30">
        <v>10</v>
      </c>
      <c r="E348" s="33">
        <v>150</v>
      </c>
      <c r="F348" s="34">
        <f t="shared" ca="1" si="4"/>
        <v>1500</v>
      </c>
      <c r="G348" s="21"/>
    </row>
    <row r="349" spans="1:7" ht="16.5" x14ac:dyDescent="0.25">
      <c r="A349" s="30" t="s">
        <v>145</v>
      </c>
      <c r="B349" s="31" t="str">
        <f ca="1">IFERROR(INDEX(UNSPSCDes,MATCH(INDIRECT(ADDRESS(ROW(),COLUMN()-1,4)),UNSPSCCode,0)),IF(INDIRECT(ADDRESS(ROW(),COLUMN()-1,4))="44121708","Marcadores",""))</f>
        <v>Marcadores</v>
      </c>
      <c r="C349" s="32" t="str">
        <f>IFERROR(VLOOKUP("CAJ",'[1]Informacion '!P:Q,2,FALSE),"")</f>
        <v>Caja</v>
      </c>
      <c r="D349" s="30">
        <v>10</v>
      </c>
      <c r="E349" s="33">
        <v>160</v>
      </c>
      <c r="F349" s="34">
        <f t="shared" ca="1" si="4"/>
        <v>1600</v>
      </c>
      <c r="G349" s="21"/>
    </row>
    <row r="350" spans="1:7" ht="16.5" x14ac:dyDescent="0.25">
      <c r="A350" s="30" t="s">
        <v>145</v>
      </c>
      <c r="B350" s="31" t="str">
        <f ca="1">IFERROR(INDEX(UNSPSCDes,MATCH(INDIRECT(ADDRESS(ROW(),COLUMN()-1,4)),UNSPSCCode,0)),IF(INDIRECT(ADDRESS(ROW(),COLUMN()-1,4))="44121708","Marcadores",""))</f>
        <v>Marcadores</v>
      </c>
      <c r="C350" s="32" t="str">
        <f>IFERROR(VLOOKUP("CAJ",'[1]Informacion '!P:Q,2,FALSE),"")</f>
        <v>Caja</v>
      </c>
      <c r="D350" s="30">
        <v>20</v>
      </c>
      <c r="E350" s="33">
        <v>120</v>
      </c>
      <c r="F350" s="34">
        <f t="shared" ca="1" si="4"/>
        <v>2400</v>
      </c>
      <c r="G350" s="21"/>
    </row>
    <row r="351" spans="1:7" ht="16.5" x14ac:dyDescent="0.25">
      <c r="A351" s="30" t="s">
        <v>145</v>
      </c>
      <c r="B351" s="31" t="str">
        <f ca="1">IFERROR(INDEX(UNSPSCDes,MATCH(INDIRECT(ADDRESS(ROW(),COLUMN()-1,4)),UNSPSCCode,0)),IF(INDIRECT(ADDRESS(ROW(),COLUMN()-1,4))="44121708","Marcadores",""))</f>
        <v>Marcadores</v>
      </c>
      <c r="C351" s="32" t="str">
        <f>IFERROR(VLOOKUP("CAJ",'[1]Informacion '!P:Q,2,FALSE),"")</f>
        <v>Caja</v>
      </c>
      <c r="D351" s="30">
        <v>20</v>
      </c>
      <c r="E351" s="33">
        <v>120</v>
      </c>
      <c r="F351" s="34">
        <f t="shared" ca="1" si="4"/>
        <v>2400</v>
      </c>
      <c r="G351" s="21"/>
    </row>
    <row r="352" spans="1:7" ht="22.5" x14ac:dyDescent="0.25">
      <c r="A352" s="30" t="s">
        <v>146</v>
      </c>
      <c r="B352" s="31" t="str">
        <f ca="1">IFERROR(INDEX(UNSPSCDes,MATCH(INDIRECT(ADDRESS(ROW(),COLUMN()-1,4)),UNSPSCCode,0)),IF(INDIRECT(ADDRESS(ROW(),COLUMN()-1,4))="44122017","Folders de colgar o accesorios",""))</f>
        <v>Folders de colgar o accesorios</v>
      </c>
      <c r="C352" s="32" t="str">
        <f>IFERROR(VLOOKUP("CAJ",'[1]Informacion '!P:Q,2,FALSE),"")</f>
        <v>Caja</v>
      </c>
      <c r="D352" s="30">
        <v>45</v>
      </c>
      <c r="E352" s="33">
        <v>400</v>
      </c>
      <c r="F352" s="34">
        <f t="shared" ca="1" si="4"/>
        <v>18000</v>
      </c>
      <c r="G352" s="21"/>
    </row>
    <row r="353" spans="1:7" ht="22.5" x14ac:dyDescent="0.25">
      <c r="A353" s="30" t="s">
        <v>146</v>
      </c>
      <c r="B353" s="31" t="str">
        <f ca="1">IFERROR(INDEX(UNSPSCDes,MATCH(INDIRECT(ADDRESS(ROW(),COLUMN()-1,4)),UNSPSCCode,0)),IF(INDIRECT(ADDRESS(ROW(),COLUMN()-1,4))="44122017","Folders de colgar o accesorios",""))</f>
        <v>Folders de colgar o accesorios</v>
      </c>
      <c r="C353" s="32" t="str">
        <f>IFERROR(VLOOKUP("CAJ",'[1]Informacion '!P:Q,2,FALSE),"")</f>
        <v>Caja</v>
      </c>
      <c r="D353" s="30">
        <v>50</v>
      </c>
      <c r="E353" s="33">
        <v>400</v>
      </c>
      <c r="F353" s="34">
        <f t="shared" ca="1" si="4"/>
        <v>20000</v>
      </c>
      <c r="G353" s="21"/>
    </row>
    <row r="354" spans="1:7" ht="33.75" x14ac:dyDescent="0.25">
      <c r="A354" s="30" t="s">
        <v>147</v>
      </c>
      <c r="B354" s="31" t="str">
        <f ca="1">IFERROR(INDEX(UNSPSCDes,MATCH(INDIRECT(ADDRESS(ROW(),COLUMN()-1,4)),UNSPSCCode,0)),IF(INDIRECT(ADDRESS(ROW(),COLUMN()-1,4))="44101602","Máquinas perforadoras o para unir papel",""))</f>
        <v>Máquinas perforadoras o para unir papel</v>
      </c>
      <c r="C354" s="32" t="str">
        <f>IFERROR(VLOOKUP("UD",'[1]Informacion '!P:Q,2,FALSE),"")</f>
        <v>Unidad</v>
      </c>
      <c r="D354" s="30">
        <v>80</v>
      </c>
      <c r="E354" s="33">
        <v>170</v>
      </c>
      <c r="F354" s="34">
        <f t="shared" ca="1" si="4"/>
        <v>13600</v>
      </c>
      <c r="G354" s="21"/>
    </row>
    <row r="355" spans="1:7" ht="33.75" x14ac:dyDescent="0.25">
      <c r="A355" s="30" t="s">
        <v>147</v>
      </c>
      <c r="B355" s="31" t="str">
        <f ca="1">IFERROR(INDEX(UNSPSCDes,MATCH(INDIRECT(ADDRESS(ROW(),COLUMN()-1,4)),UNSPSCCode,0)),IF(INDIRECT(ADDRESS(ROW(),COLUMN()-1,4))="44101602","Máquinas perforadoras o para unir papel",""))</f>
        <v>Máquinas perforadoras o para unir papel</v>
      </c>
      <c r="C355" s="32" t="str">
        <f>IFERROR(VLOOKUP("UD",'[1]Informacion '!P:Q,2,FALSE),"")</f>
        <v>Unidad</v>
      </c>
      <c r="D355" s="30">
        <v>15</v>
      </c>
      <c r="E355" s="33">
        <v>215</v>
      </c>
      <c r="F355" s="34">
        <f t="shared" ca="1" si="4"/>
        <v>3225</v>
      </c>
      <c r="G355" s="21"/>
    </row>
    <row r="356" spans="1:7" ht="16.5" x14ac:dyDescent="0.25">
      <c r="A356" s="30" t="s">
        <v>144</v>
      </c>
      <c r="B356" s="31" t="str">
        <f ca="1">IFERROR(INDEX(UNSPSCDes,MATCH(INDIRECT(ADDRESS(ROW(),COLUMN()-1,4)),UNSPSCCode,0)),IF(INDIRECT(ADDRESS(ROW(),COLUMN()-1,4))="44121716","Resaltadores",""))</f>
        <v>Resaltadores</v>
      </c>
      <c r="C356" s="32" t="str">
        <f>IFERROR(VLOOKUP("CAJ",'[1]Informacion '!P:Q,2,FALSE),"")</f>
        <v>Caja</v>
      </c>
      <c r="D356" s="30">
        <v>10</v>
      </c>
      <c r="E356" s="33">
        <v>145</v>
      </c>
      <c r="F356" s="34">
        <f t="shared" ca="1" si="4"/>
        <v>1450</v>
      </c>
      <c r="G356" s="21"/>
    </row>
    <row r="357" spans="1:7" ht="33.75" x14ac:dyDescent="0.25">
      <c r="A357" s="30" t="s">
        <v>148</v>
      </c>
      <c r="B357" s="31" t="str">
        <f ca="1">IFERROR(INDEX(UNSPSCDes,MATCH(INDIRECT(ADDRESS(ROW(),COLUMN()-1,4)),UNSPSCCode,0)),IF(INDIRECT(ADDRESS(ROW(),COLUMN()-1,4))="44121613","Removedores de grapas (saca ganchos)",""))</f>
        <v>Removedores de grapas (saca ganchos)</v>
      </c>
      <c r="C357" s="32" t="str">
        <f>IFERROR(VLOOKUP("UD",'[1]Informacion '!P:Q,2,FALSE),"")</f>
        <v>Unidad</v>
      </c>
      <c r="D357" s="30">
        <v>50</v>
      </c>
      <c r="E357" s="33">
        <v>25</v>
      </c>
      <c r="F357" s="34">
        <f t="shared" ca="1" si="4"/>
        <v>1250</v>
      </c>
      <c r="G357" s="21"/>
    </row>
    <row r="358" spans="1:7" ht="22.5" x14ac:dyDescent="0.25">
      <c r="A358" s="30" t="s">
        <v>149</v>
      </c>
      <c r="B358" s="31" t="str">
        <f ca="1">IFERROR(INDEX(UNSPSCDes,MATCH(INDIRECT(ADDRESS(ROW(),COLUMN()-1,4)),UNSPSCCode,0)),IF(INDIRECT(ADDRESS(ROW(),COLUMN()-1,4))="44121619","Tajalápices manuales",""))</f>
        <v>Tajalápices manuales</v>
      </c>
      <c r="C358" s="32" t="str">
        <f>IFERROR(VLOOKUP("UD",'[1]Informacion '!P:Q,2,FALSE),"")</f>
        <v>Unidad</v>
      </c>
      <c r="D358" s="30">
        <v>50</v>
      </c>
      <c r="E358" s="33">
        <v>6</v>
      </c>
      <c r="F358" s="34">
        <f t="shared" ca="1" si="4"/>
        <v>300</v>
      </c>
      <c r="G358" s="21"/>
    </row>
    <row r="359" spans="1:7" ht="16.5" x14ac:dyDescent="0.25">
      <c r="A359" s="30" t="s">
        <v>150</v>
      </c>
      <c r="B359" s="31" t="str">
        <f ca="1">IFERROR(INDEX(UNSPSCDes,MATCH(INDIRECT(ADDRESS(ROW(),COLUMN()-1,4)),UNSPSCCode,0)),IF(INDIRECT(ADDRESS(ROW(),COLUMN()-1,4))="44121503","Sobres",""))</f>
        <v>Sobres</v>
      </c>
      <c r="C359" s="32" t="str">
        <f>IFERROR(VLOOKUP("CAJ",'[1]Informacion '!P:Q,2,FALSE),"")</f>
        <v>Caja</v>
      </c>
      <c r="D359" s="30">
        <v>7</v>
      </c>
      <c r="E359" s="33">
        <v>500</v>
      </c>
      <c r="F359" s="34">
        <f t="shared" ca="1" si="4"/>
        <v>3500</v>
      </c>
      <c r="G359" s="21"/>
    </row>
    <row r="360" spans="1:7" ht="16.5" x14ac:dyDescent="0.25">
      <c r="A360" s="30" t="s">
        <v>150</v>
      </c>
      <c r="B360" s="31" t="str">
        <f ca="1">IFERROR(INDEX(UNSPSCDes,MATCH(INDIRECT(ADDRESS(ROW(),COLUMN()-1,4)),UNSPSCCode,0)),IF(INDIRECT(ADDRESS(ROW(),COLUMN()-1,4))="44121503","Sobres",""))</f>
        <v>Sobres</v>
      </c>
      <c r="C360" s="32" t="str">
        <f>IFERROR(VLOOKUP("CAJ",'[1]Informacion '!P:Q,2,FALSE),"")</f>
        <v>Caja</v>
      </c>
      <c r="D360" s="30">
        <v>15</v>
      </c>
      <c r="E360" s="33">
        <v>1900</v>
      </c>
      <c r="F360" s="34">
        <f t="shared" ca="1" si="4"/>
        <v>28500</v>
      </c>
      <c r="G360" s="21"/>
    </row>
    <row r="361" spans="1:7" ht="22.5" x14ac:dyDescent="0.25">
      <c r="A361" s="30" t="s">
        <v>151</v>
      </c>
      <c r="B361" s="31" t="str">
        <f ca="1">IFERROR(INDEX(UNSPSCDes,MATCH(INDIRECT(ADDRESS(ROW(),COLUMN()-1,4)),UNSPSCCode,0)),IF(INDIRECT(ADDRESS(ROW(),COLUMN()-1,4))="44122016","Sujetador de documentos",""))</f>
        <v>Sujetador de documentos</v>
      </c>
      <c r="C361" s="32" t="str">
        <f>IFERROR(VLOOKUP("UD",'[1]Informacion '!P:Q,2,FALSE),"")</f>
        <v>Unidad</v>
      </c>
      <c r="D361" s="30">
        <v>15</v>
      </c>
      <c r="E361" s="33">
        <v>130</v>
      </c>
      <c r="F361" s="34">
        <f t="shared" ca="1" si="4"/>
        <v>1950</v>
      </c>
      <c r="G361" s="21"/>
    </row>
    <row r="362" spans="1:7" ht="22.5" x14ac:dyDescent="0.25">
      <c r="A362" s="30" t="s">
        <v>152</v>
      </c>
      <c r="B362" s="31" t="str">
        <f ca="1">IFERROR(INDEX(UNSPSCDes,MATCH(INDIRECT(ADDRESS(ROW(),COLUMN()-1,4)),UNSPSCCode,0)),IF(INDIRECT(ADDRESS(ROW(),COLUMN()-1,4))="44121612","Cortadoras de papel o repuestos",""))</f>
        <v>Cortadoras de papel o repuestos</v>
      </c>
      <c r="C362" s="32" t="str">
        <f>IFERROR(VLOOKUP("UD",'[1]Informacion '!P:Q,2,FALSE),"")</f>
        <v>Unidad</v>
      </c>
      <c r="D362" s="30">
        <v>75</v>
      </c>
      <c r="E362" s="33">
        <v>35</v>
      </c>
      <c r="F362" s="34">
        <f t="shared" ca="1" si="4"/>
        <v>2625</v>
      </c>
      <c r="G362" s="21"/>
    </row>
    <row r="363" spans="1:7" ht="16.5" x14ac:dyDescent="0.25">
      <c r="A363" s="30" t="s">
        <v>153</v>
      </c>
      <c r="B363" s="31" t="str">
        <f ca="1">IFERROR(INDEX(UNSPSCDes,MATCH(INDIRECT(ADDRESS(ROW(),COLUMN()-1,4)),UNSPSCCode,0)),IF(INDIRECT(ADDRESS(ROW(),COLUMN()-1,4))="44121904","Repuestos de tinta",""))</f>
        <v>Repuestos de tinta</v>
      </c>
      <c r="C363" s="32" t="str">
        <f>IFERROR(VLOOKUP("UD",'[1]Informacion '!P:Q,2,FALSE),"")</f>
        <v>Unidad</v>
      </c>
      <c r="D363" s="30">
        <v>15</v>
      </c>
      <c r="E363" s="33">
        <v>230</v>
      </c>
      <c r="F363" s="34">
        <f t="shared" ca="1" si="4"/>
        <v>3450</v>
      </c>
      <c r="G363" s="21"/>
    </row>
    <row r="364" spans="1:7" ht="33.75" x14ac:dyDescent="0.25">
      <c r="A364" s="30" t="s">
        <v>154</v>
      </c>
      <c r="B364" s="31" t="str">
        <f ca="1">IFERROR(INDEX(UNSPSCDes,MATCH(INDIRECT(ADDRESS(ROW(),COLUMN()-1,4)),UNSPSCCode,0)),IF(INDIRECT(ADDRESS(ROW(),COLUMN()-1,4))="55121802","Tarjetas o bandas de identificación o productos similares",""))</f>
        <v>Tarjetas o bandas de identificación o productos similares</v>
      </c>
      <c r="C364" s="32" t="str">
        <f>IFERROR(VLOOKUP("CAJ",'[1]Informacion '!P:Q,2,FALSE),"")</f>
        <v>Caja</v>
      </c>
      <c r="D364" s="30">
        <v>2</v>
      </c>
      <c r="E364" s="33">
        <v>3000</v>
      </c>
      <c r="F364" s="34">
        <f t="shared" ca="1" si="4"/>
        <v>6000</v>
      </c>
      <c r="G364" s="21"/>
    </row>
    <row r="365" spans="1:7" ht="22.5" x14ac:dyDescent="0.25">
      <c r="A365" s="30" t="s">
        <v>155</v>
      </c>
      <c r="B365" s="31" t="str">
        <f ca="1">IFERROR(INDEX(UNSPSCDes,MATCH(INDIRECT(ADDRESS(ROW(),COLUMN()-1,4)),UNSPSCCode,0)),IF(INDIRECT(ADDRESS(ROW(),COLUMN()-1,4))="55121616","Banderas auto adhesivas",""))</f>
        <v>Banderas auto adhesivas</v>
      </c>
      <c r="C365" s="32" t="str">
        <f>IFERROR(VLOOKUP("PAQ",'[1]Informacion '!P:Q,2,FALSE),"")</f>
        <v>Paquete</v>
      </c>
      <c r="D365" s="30">
        <v>10</v>
      </c>
      <c r="E365" s="33">
        <v>55</v>
      </c>
      <c r="F365" s="34">
        <f t="shared" ca="1" si="4"/>
        <v>550</v>
      </c>
      <c r="G365" s="21"/>
    </row>
    <row r="366" spans="1:7" ht="16.5" x14ac:dyDescent="0.25">
      <c r="A366" s="30" t="s">
        <v>156</v>
      </c>
      <c r="B366" s="31" t="str">
        <f ca="1">IFERROR(INDEX(UNSPSCDes,MATCH(INDIRECT(ADDRESS(ROW(),COLUMN()-1,4)),UNSPSCCode,0)),IF(INDIRECT(ADDRESS(ROW(),COLUMN()-1,4))="44103112","Cinta de impresora",""))</f>
        <v>Cinta de impresora</v>
      </c>
      <c r="C366" s="32" t="str">
        <f>IFERROR(VLOOKUP("UD",'[1]Informacion '!P:Q,2,FALSE),"")</f>
        <v>Unidad</v>
      </c>
      <c r="D366" s="30">
        <v>3</v>
      </c>
      <c r="E366" s="33">
        <v>4000</v>
      </c>
      <c r="F366" s="34">
        <f t="shared" ca="1" si="4"/>
        <v>12000</v>
      </c>
      <c r="G366" s="21"/>
    </row>
    <row r="367" spans="1:7" ht="22.5" x14ac:dyDescent="0.25">
      <c r="A367" s="30" t="s">
        <v>157</v>
      </c>
      <c r="B367" s="31" t="str">
        <f ca="1">IFERROR(INDEX(UNSPSCDes,MATCH(INDIRECT(ADDRESS(ROW(),COLUMN()-1,4)),UNSPSCCode,0)),IF(INDIRECT(ADDRESS(ROW(),COLUMN()-1,4))="44111907","Tableros de noticias o accesorios",""))</f>
        <v>Tableros de noticias o accesorios</v>
      </c>
      <c r="C367" s="32" t="str">
        <f>IFERROR(VLOOKUP("UD",'[1]Informacion '!P:Q,2,FALSE),"")</f>
        <v>Unidad</v>
      </c>
      <c r="D367" s="30">
        <v>3</v>
      </c>
      <c r="E367" s="33">
        <v>1800</v>
      </c>
      <c r="F367" s="34">
        <f t="shared" ca="1" si="4"/>
        <v>5400</v>
      </c>
      <c r="G367" s="21"/>
    </row>
    <row r="368" spans="1:7" ht="22.5" x14ac:dyDescent="0.25">
      <c r="A368" s="30" t="s">
        <v>158</v>
      </c>
      <c r="B368" s="31" t="str">
        <f ca="1">IFERROR(INDEX(UNSPSCDes,MATCH(INDIRECT(ADDRESS(ROW(),COLUMN()-1,4)),UNSPSCCode,0)),IF(INDIRECT(ADDRESS(ROW(),COLUMN()-1,4))="44111906","Tableros de tiza o accesorios",""))</f>
        <v>Tableros de tiza o accesorios</v>
      </c>
      <c r="C368" s="32" t="str">
        <f>IFERROR(VLOOKUP("UD",'[1]Informacion '!P:Q,2,FALSE),"")</f>
        <v>Unidad</v>
      </c>
      <c r="D368" s="30">
        <v>1</v>
      </c>
      <c r="E368" s="33">
        <v>2000</v>
      </c>
      <c r="F368" s="34">
        <f t="shared" ca="1" si="4"/>
        <v>2000</v>
      </c>
      <c r="G368" s="21"/>
    </row>
    <row r="369" spans="1:7" ht="16.5" x14ac:dyDescent="0.25">
      <c r="A369" s="21"/>
      <c r="B369" s="21"/>
      <c r="C369" s="21"/>
      <c r="D369" s="21"/>
      <c r="E369" s="35" t="s">
        <v>56</v>
      </c>
      <c r="F369" s="36">
        <f ca="1">SUM(Table27[MONTO TOTAL ESTIMADO])</f>
        <v>603200</v>
      </c>
      <c r="G369" s="21"/>
    </row>
    <row r="370" spans="1:7" ht="17.25" thickBot="1" x14ac:dyDescent="0.3">
      <c r="A370" s="21"/>
      <c r="B370" s="21"/>
      <c r="C370" s="21"/>
      <c r="D370" s="21"/>
      <c r="E370" s="21"/>
      <c r="F370" s="21"/>
      <c r="G370" s="21"/>
    </row>
    <row r="371" spans="1:7" ht="23.25" thickBot="1" x14ac:dyDescent="0.3">
      <c r="A371" s="22" t="s">
        <v>19</v>
      </c>
      <c r="B371" s="22" t="s">
        <v>20</v>
      </c>
      <c r="C371" s="22" t="s">
        <v>21</v>
      </c>
      <c r="D371" s="22" t="s">
        <v>22</v>
      </c>
      <c r="E371" s="22" t="s">
        <v>23</v>
      </c>
      <c r="F371" s="22" t="s">
        <v>24</v>
      </c>
      <c r="G371" s="21"/>
    </row>
    <row r="372" spans="1:7" ht="17.25" thickBot="1" x14ac:dyDescent="0.3">
      <c r="A372" s="23" t="s">
        <v>159</v>
      </c>
      <c r="B372" s="23" t="s">
        <v>159</v>
      </c>
      <c r="C372" s="23" t="s">
        <v>27</v>
      </c>
      <c r="D372" s="23" t="s">
        <v>58</v>
      </c>
      <c r="E372" s="23" t="s">
        <v>29</v>
      </c>
      <c r="F372" s="23"/>
      <c r="G372" s="21"/>
    </row>
    <row r="373" spans="1:7" ht="17.25" thickBot="1" x14ac:dyDescent="0.3">
      <c r="A373" s="45" t="s">
        <v>30</v>
      </c>
      <c r="B373" s="24" t="s">
        <v>31</v>
      </c>
      <c r="C373" s="25">
        <v>44396</v>
      </c>
      <c r="D373" s="45" t="s">
        <v>32</v>
      </c>
      <c r="E373" s="26" t="s">
        <v>33</v>
      </c>
      <c r="F373" s="27" t="s">
        <v>34</v>
      </c>
      <c r="G373" s="21"/>
    </row>
    <row r="374" spans="1:7" ht="17.25" thickBot="1" x14ac:dyDescent="0.3">
      <c r="A374" s="46"/>
      <c r="B374" s="24" t="s">
        <v>35</v>
      </c>
      <c r="C374" s="28">
        <f>IF(C373="","",IF(AND(MONTH(C373)&gt;=1,MONTH(C373)&lt;=3),1,IF(AND(MONTH(C373)&gt;=4,MONTH(C373)&lt;=6),2,IF(AND(MONTH(C373)&gt;=7,MONTH(C373)&lt;=9),3,4))))</f>
        <v>3</v>
      </c>
      <c r="D374" s="46"/>
      <c r="E374" s="26" t="s">
        <v>36</v>
      </c>
      <c r="F374" s="27" t="s">
        <v>37</v>
      </c>
      <c r="G374" s="21"/>
    </row>
    <row r="375" spans="1:7" ht="17.25" thickBot="1" x14ac:dyDescent="0.3">
      <c r="A375" s="46"/>
      <c r="B375" s="24" t="s">
        <v>38</v>
      </c>
      <c r="C375" s="25">
        <v>44405</v>
      </c>
      <c r="D375" s="46"/>
      <c r="E375" s="26" t="s">
        <v>39</v>
      </c>
      <c r="F375" s="27" t="s">
        <v>37</v>
      </c>
      <c r="G375" s="21"/>
    </row>
    <row r="376" spans="1:7" ht="17.25" thickBot="1" x14ac:dyDescent="0.3">
      <c r="A376" s="46"/>
      <c r="B376" s="24" t="s">
        <v>35</v>
      </c>
      <c r="C376" s="28">
        <f>IF(C375="","",IF(AND(MONTH(C375)&gt;=1,MONTH(C375)&lt;=3),1,IF(AND(MONTH(C375)&gt;=4,MONTH(C375)&lt;=6),2,IF(AND(MONTH(C375)&gt;=7,MONTH(C375)&lt;=9),3,4))))</f>
        <v>3</v>
      </c>
      <c r="D376" s="46"/>
      <c r="E376" s="26" t="s">
        <v>40</v>
      </c>
      <c r="F376" s="27"/>
      <c r="G376" s="21"/>
    </row>
    <row r="377" spans="1:7" ht="17.25" thickBot="1" x14ac:dyDescent="0.3">
      <c r="A377" s="21"/>
      <c r="B377" s="21"/>
      <c r="C377" s="21"/>
      <c r="D377" s="21"/>
      <c r="E377" s="21"/>
      <c r="F377" s="21"/>
      <c r="G377" s="21"/>
    </row>
    <row r="378" spans="1:7" ht="17.25" thickBot="1" x14ac:dyDescent="0.3">
      <c r="A378" s="29" t="s">
        <v>41</v>
      </c>
      <c r="B378" s="29" t="s">
        <v>42</v>
      </c>
      <c r="C378" s="29" t="s">
        <v>43</v>
      </c>
      <c r="D378" s="29" t="s">
        <v>44</v>
      </c>
      <c r="E378" s="29" t="s">
        <v>45</v>
      </c>
      <c r="F378" s="29" t="s">
        <v>46</v>
      </c>
      <c r="G378" s="21"/>
    </row>
    <row r="379" spans="1:7" ht="22.5" x14ac:dyDescent="0.25">
      <c r="A379" s="30" t="s">
        <v>160</v>
      </c>
      <c r="B379" s="31" t="str">
        <f ca="1">IFERROR(INDEX(UNSPSCDes,MATCH(INDIRECT(ADDRESS(ROW(),COLUMN()-1,4)),UNSPSCCode,0)),IF(INDIRECT(ADDRESS(ROW(),COLUMN()-1,4))="55101510","Libros para entretenimiento",""))</f>
        <v>Libros para entretenimiento</v>
      </c>
      <c r="C379" s="32" t="str">
        <f>IFERROR(VLOOKUP("UD",'[1]Informacion '!P:Q,2,FALSE),"")</f>
        <v>Unidad</v>
      </c>
      <c r="D379" s="30">
        <v>65</v>
      </c>
      <c r="E379" s="33">
        <v>2500</v>
      </c>
      <c r="F379" s="34">
        <f ca="1">INDIRECT(ADDRESS(ROW(),COLUMN()-2,4))*INDIRECT(ADDRESS(ROW(),COLUMN()-1,4))</f>
        <v>162500</v>
      </c>
      <c r="G379" s="21"/>
    </row>
    <row r="380" spans="1:7" ht="22.5" x14ac:dyDescent="0.25">
      <c r="A380" s="30" t="s">
        <v>160</v>
      </c>
      <c r="B380" s="31" t="str">
        <f ca="1">IFERROR(INDEX(UNSPSCDes,MATCH(INDIRECT(ADDRESS(ROW(),COLUMN()-1,4)),UNSPSCCode,0)),IF(INDIRECT(ADDRESS(ROW(),COLUMN()-1,4))="55101510","Libros para entretenimiento",""))</f>
        <v>Libros para entretenimiento</v>
      </c>
      <c r="C380" s="32" t="str">
        <f>IFERROR(VLOOKUP("UD",'[1]Informacion '!P:Q,2,FALSE),"")</f>
        <v>Unidad</v>
      </c>
      <c r="D380" s="30">
        <v>24</v>
      </c>
      <c r="E380" s="33">
        <v>2500</v>
      </c>
      <c r="F380" s="34">
        <f ca="1">INDIRECT(ADDRESS(ROW(),COLUMN()-2,4))*INDIRECT(ADDRESS(ROW(),COLUMN()-1,4))</f>
        <v>60000</v>
      </c>
      <c r="G380" s="21"/>
    </row>
    <row r="381" spans="1:7" ht="16.5" x14ac:dyDescent="0.25">
      <c r="A381" s="21"/>
      <c r="B381" s="21"/>
      <c r="C381" s="21"/>
      <c r="D381" s="21"/>
      <c r="E381" s="35" t="s">
        <v>56</v>
      </c>
      <c r="F381" s="36">
        <f ca="1">SUM(Table28[MONTO TOTAL ESTIMADO])</f>
        <v>222500</v>
      </c>
      <c r="G381" s="21"/>
    </row>
    <row r="382" spans="1:7" ht="17.25" thickBot="1" x14ac:dyDescent="0.3">
      <c r="A382" s="21"/>
      <c r="B382" s="21"/>
      <c r="C382" s="21"/>
      <c r="D382" s="21"/>
      <c r="E382" s="21"/>
      <c r="F382" s="21"/>
      <c r="G382" s="21"/>
    </row>
    <row r="383" spans="1:7" ht="23.25" thickBot="1" x14ac:dyDescent="0.3">
      <c r="A383" s="22" t="s">
        <v>19</v>
      </c>
      <c r="B383" s="22" t="s">
        <v>20</v>
      </c>
      <c r="C383" s="22" t="s">
        <v>21</v>
      </c>
      <c r="D383" s="22" t="s">
        <v>22</v>
      </c>
      <c r="E383" s="22" t="s">
        <v>23</v>
      </c>
      <c r="F383" s="22" t="s">
        <v>24</v>
      </c>
      <c r="G383" s="21"/>
    </row>
    <row r="384" spans="1:7" ht="17.25" thickBot="1" x14ac:dyDescent="0.3">
      <c r="A384" s="23" t="s">
        <v>159</v>
      </c>
      <c r="B384" s="23" t="s">
        <v>159</v>
      </c>
      <c r="C384" s="23" t="s">
        <v>27</v>
      </c>
      <c r="D384" s="23" t="s">
        <v>58</v>
      </c>
      <c r="E384" s="23" t="s">
        <v>29</v>
      </c>
      <c r="F384" s="23"/>
      <c r="G384" s="21"/>
    </row>
    <row r="385" spans="1:7" ht="17.25" thickBot="1" x14ac:dyDescent="0.3">
      <c r="A385" s="45" t="s">
        <v>30</v>
      </c>
      <c r="B385" s="24" t="s">
        <v>31</v>
      </c>
      <c r="C385" s="25">
        <v>44515</v>
      </c>
      <c r="D385" s="45" t="s">
        <v>32</v>
      </c>
      <c r="E385" s="26" t="s">
        <v>33</v>
      </c>
      <c r="F385" s="27" t="s">
        <v>34</v>
      </c>
      <c r="G385" s="21"/>
    </row>
    <row r="386" spans="1:7" ht="17.25" thickBot="1" x14ac:dyDescent="0.3">
      <c r="A386" s="46"/>
      <c r="B386" s="24" t="s">
        <v>35</v>
      </c>
      <c r="C386" s="28">
        <f>IF(C385="","",IF(AND(MONTH(C385)&gt;=1,MONTH(C385)&lt;=3),1,IF(AND(MONTH(C385)&gt;=4,MONTH(C385)&lt;=6),2,IF(AND(MONTH(C385)&gt;=7,MONTH(C385)&lt;=9),3,4))))</f>
        <v>4</v>
      </c>
      <c r="D386" s="46"/>
      <c r="E386" s="26" t="s">
        <v>36</v>
      </c>
      <c r="F386" s="27" t="s">
        <v>37</v>
      </c>
      <c r="G386" s="21"/>
    </row>
    <row r="387" spans="1:7" ht="17.25" thickBot="1" x14ac:dyDescent="0.3">
      <c r="A387" s="46"/>
      <c r="B387" s="24" t="s">
        <v>38</v>
      </c>
      <c r="C387" s="25">
        <v>44524</v>
      </c>
      <c r="D387" s="46"/>
      <c r="E387" s="26" t="s">
        <v>39</v>
      </c>
      <c r="F387" s="27" t="s">
        <v>37</v>
      </c>
      <c r="G387" s="21"/>
    </row>
    <row r="388" spans="1:7" ht="17.25" thickBot="1" x14ac:dyDescent="0.3">
      <c r="A388" s="46"/>
      <c r="B388" s="24" t="s">
        <v>35</v>
      </c>
      <c r="C388" s="28">
        <f>IF(C387="","",IF(AND(MONTH(C387)&gt;=1,MONTH(C387)&lt;=3),1,IF(AND(MONTH(C387)&gt;=4,MONTH(C387)&lt;=6),2,IF(AND(MONTH(C387)&gt;=7,MONTH(C387)&lt;=9),3,4))))</f>
        <v>4</v>
      </c>
      <c r="D388" s="46"/>
      <c r="E388" s="26" t="s">
        <v>40</v>
      </c>
      <c r="F388" s="27"/>
      <c r="G388" s="21"/>
    </row>
    <row r="389" spans="1:7" ht="17.25" thickBot="1" x14ac:dyDescent="0.3">
      <c r="A389" s="21"/>
      <c r="B389" s="21"/>
      <c r="C389" s="21"/>
      <c r="D389" s="21"/>
      <c r="E389" s="21"/>
      <c r="F389" s="21"/>
      <c r="G389" s="21"/>
    </row>
    <row r="390" spans="1:7" ht="17.25" thickBot="1" x14ac:dyDescent="0.3">
      <c r="A390" s="29" t="s">
        <v>41</v>
      </c>
      <c r="B390" s="29" t="s">
        <v>42</v>
      </c>
      <c r="C390" s="29" t="s">
        <v>43</v>
      </c>
      <c r="D390" s="29" t="s">
        <v>44</v>
      </c>
      <c r="E390" s="29" t="s">
        <v>45</v>
      </c>
      <c r="F390" s="29" t="s">
        <v>46</v>
      </c>
      <c r="G390" s="21"/>
    </row>
    <row r="391" spans="1:7" ht="16.5" x14ac:dyDescent="0.25">
      <c r="A391" s="30" t="s">
        <v>161</v>
      </c>
      <c r="B391" s="31" t="str">
        <f ca="1">IFERROR(INDEX(UNSPSCDes,MATCH(INDIRECT(ADDRESS(ROW(),COLUMN()-1,4)),UNSPSCCode,0)),IF(INDIRECT(ADDRESS(ROW(),COLUMN()-1,4))="55101502","Directorios",""))</f>
        <v>Directorios</v>
      </c>
      <c r="C391" s="32" t="str">
        <f>IFERROR(VLOOKUP("UD",'[1]Informacion '!P:Q,2,FALSE),"")</f>
        <v>Unidad</v>
      </c>
      <c r="D391" s="30">
        <v>420</v>
      </c>
      <c r="E391" s="33">
        <v>1200</v>
      </c>
      <c r="F391" s="34">
        <f ca="1">INDIRECT(ADDRESS(ROW(),COLUMN()-2,4))*INDIRECT(ADDRESS(ROW(),COLUMN()-1,4))</f>
        <v>504000</v>
      </c>
      <c r="G391" s="21"/>
    </row>
    <row r="392" spans="1:7" ht="16.5" x14ac:dyDescent="0.25">
      <c r="A392" s="30" t="s">
        <v>161</v>
      </c>
      <c r="B392" s="31" t="str">
        <f ca="1">IFERROR(INDEX(UNSPSCDes,MATCH(INDIRECT(ADDRESS(ROW(),COLUMN()-1,4)),UNSPSCCode,0)),IF(INDIRECT(ADDRESS(ROW(),COLUMN()-1,4))="55101502","Directorios",""))</f>
        <v>Directorios</v>
      </c>
      <c r="C392" s="32" t="str">
        <f>IFERROR(VLOOKUP("UD",'[1]Informacion '!P:Q,2,FALSE),"")</f>
        <v>Unidad</v>
      </c>
      <c r="D392" s="30">
        <v>10</v>
      </c>
      <c r="E392" s="33">
        <v>2000</v>
      </c>
      <c r="F392" s="34">
        <f ca="1">INDIRECT(ADDRESS(ROW(),COLUMN()-2,4))*INDIRECT(ADDRESS(ROW(),COLUMN()-1,4))</f>
        <v>20000</v>
      </c>
      <c r="G392" s="21"/>
    </row>
    <row r="393" spans="1:7" ht="16.5" x14ac:dyDescent="0.25">
      <c r="A393" s="21"/>
      <c r="B393" s="21"/>
      <c r="C393" s="21"/>
      <c r="D393" s="21"/>
      <c r="E393" s="35" t="s">
        <v>56</v>
      </c>
      <c r="F393" s="36">
        <f ca="1">SUM(Table29[MONTO TOTAL ESTIMADO])</f>
        <v>524000</v>
      </c>
      <c r="G393" s="21"/>
    </row>
    <row r="394" spans="1:7" ht="17.25" thickBot="1" x14ac:dyDescent="0.3">
      <c r="A394" s="21"/>
      <c r="B394" s="21"/>
      <c r="C394" s="21"/>
      <c r="D394" s="21"/>
      <c r="E394" s="21"/>
      <c r="F394" s="21"/>
      <c r="G394" s="21"/>
    </row>
    <row r="395" spans="1:7" ht="23.25" thickBot="1" x14ac:dyDescent="0.3">
      <c r="A395" s="22" t="s">
        <v>19</v>
      </c>
      <c r="B395" s="22" t="s">
        <v>20</v>
      </c>
      <c r="C395" s="22" t="s">
        <v>21</v>
      </c>
      <c r="D395" s="22" t="s">
        <v>22</v>
      </c>
      <c r="E395" s="22" t="s">
        <v>23</v>
      </c>
      <c r="F395" s="22" t="s">
        <v>24</v>
      </c>
      <c r="G395" s="21"/>
    </row>
    <row r="396" spans="1:7" ht="17.25" thickBot="1" x14ac:dyDescent="0.3">
      <c r="A396" s="23" t="s">
        <v>162</v>
      </c>
      <c r="B396" s="23" t="s">
        <v>162</v>
      </c>
      <c r="C396" s="23" t="s">
        <v>27</v>
      </c>
      <c r="D396" s="23" t="s">
        <v>68</v>
      </c>
      <c r="E396" s="23" t="s">
        <v>29</v>
      </c>
      <c r="F396" s="23"/>
      <c r="G396" s="21"/>
    </row>
    <row r="397" spans="1:7" ht="17.25" thickBot="1" x14ac:dyDescent="0.3">
      <c r="A397" s="45" t="s">
        <v>30</v>
      </c>
      <c r="B397" s="24" t="s">
        <v>31</v>
      </c>
      <c r="C397" s="25">
        <v>44348</v>
      </c>
      <c r="D397" s="45" t="s">
        <v>32</v>
      </c>
      <c r="E397" s="26" t="s">
        <v>33</v>
      </c>
      <c r="F397" s="27" t="s">
        <v>34</v>
      </c>
      <c r="G397" s="21"/>
    </row>
    <row r="398" spans="1:7" ht="17.25" thickBot="1" x14ac:dyDescent="0.3">
      <c r="A398" s="46"/>
      <c r="B398" s="24" t="s">
        <v>35</v>
      </c>
      <c r="C398" s="28">
        <f>IF(C397="","",IF(AND(MONTH(C397)&gt;=1,MONTH(C397)&lt;=3),1,IF(AND(MONTH(C397)&gt;=4,MONTH(C397)&lt;=6),2,IF(AND(MONTH(C397)&gt;=7,MONTH(C397)&lt;=9),3,4))))</f>
        <v>2</v>
      </c>
      <c r="D398" s="46"/>
      <c r="E398" s="26" t="s">
        <v>36</v>
      </c>
      <c r="F398" s="27" t="s">
        <v>37</v>
      </c>
      <c r="G398" s="21"/>
    </row>
    <row r="399" spans="1:7" ht="17.25" thickBot="1" x14ac:dyDescent="0.3">
      <c r="A399" s="46"/>
      <c r="B399" s="24" t="s">
        <v>38</v>
      </c>
      <c r="C399" s="25">
        <v>44355</v>
      </c>
      <c r="D399" s="46"/>
      <c r="E399" s="26" t="s">
        <v>39</v>
      </c>
      <c r="F399" s="27" t="s">
        <v>37</v>
      </c>
      <c r="G399" s="21"/>
    </row>
    <row r="400" spans="1:7" ht="17.25" thickBot="1" x14ac:dyDescent="0.3">
      <c r="A400" s="46"/>
      <c r="B400" s="24" t="s">
        <v>35</v>
      </c>
      <c r="C400" s="28">
        <f>IF(C399="","",IF(AND(MONTH(C399)&gt;=1,MONTH(C399)&lt;=3),1,IF(AND(MONTH(C399)&gt;=4,MONTH(C399)&lt;=6),2,IF(AND(MONTH(C399)&gt;=7,MONTH(C399)&lt;=9),3,4))))</f>
        <v>2</v>
      </c>
      <c r="D400" s="46"/>
      <c r="E400" s="26" t="s">
        <v>40</v>
      </c>
      <c r="F400" s="27"/>
      <c r="G400" s="21"/>
    </row>
    <row r="401" spans="1:7" ht="17.25" thickBot="1" x14ac:dyDescent="0.3">
      <c r="A401" s="21"/>
      <c r="B401" s="21"/>
      <c r="C401" s="21"/>
      <c r="D401" s="21"/>
      <c r="E401" s="21"/>
      <c r="F401" s="21"/>
      <c r="G401" s="21"/>
    </row>
    <row r="402" spans="1:7" ht="17.25" thickBot="1" x14ac:dyDescent="0.3">
      <c r="A402" s="29" t="s">
        <v>41</v>
      </c>
      <c r="B402" s="29" t="s">
        <v>42</v>
      </c>
      <c r="C402" s="29" t="s">
        <v>43</v>
      </c>
      <c r="D402" s="29" t="s">
        <v>44</v>
      </c>
      <c r="E402" s="29" t="s">
        <v>45</v>
      </c>
      <c r="F402" s="29" t="s">
        <v>46</v>
      </c>
      <c r="G402" s="21"/>
    </row>
    <row r="403" spans="1:7" ht="33.75" x14ac:dyDescent="0.25">
      <c r="A403" s="30" t="s">
        <v>138</v>
      </c>
      <c r="B403" s="31" t="str">
        <f ca="1">IFERROR(INDEX(UNSPSCDes,MATCH(INDIRECT(ADDRESS(ROW(),COLUMN()-1,4)),UNSPSCCode,0)),IF(INDIRECT(ADDRESS(ROW(),COLUMN()-1,4))="43201811","Disco versátil digital dvd de lectura y escritura",""))</f>
        <v>Disco versátil digital dvd de lectura y escritura</v>
      </c>
      <c r="C403" s="32" t="str">
        <f>IFERROR(VLOOKUP("UD",'[1]Informacion '!P:Q,2,FALSE),"")</f>
        <v>Unidad</v>
      </c>
      <c r="D403" s="30">
        <v>195</v>
      </c>
      <c r="E403" s="33">
        <v>60</v>
      </c>
      <c r="F403" s="34">
        <f t="shared" ref="F403:F414" ca="1" si="5">INDIRECT(ADDRESS(ROW(),COLUMN()-2,4))*INDIRECT(ADDRESS(ROW(),COLUMN()-1,4))</f>
        <v>11700</v>
      </c>
      <c r="G403" s="21"/>
    </row>
    <row r="404" spans="1:7" ht="22.5" x14ac:dyDescent="0.25">
      <c r="A404" s="30" t="s">
        <v>163</v>
      </c>
      <c r="B404" s="31" t="str">
        <f ca="1">IFERROR(INDEX(UNSPSCDes,MATCH(INDIRECT(ADDRESS(ROW(),COLUMN()-1,4)),UNSPSCCode,0)),IF(INDIRECT(ADDRESS(ROW(),COLUMN()-1,4))="43201404","Tarjetas de interface de red",""))</f>
        <v>Tarjetas de interface de red</v>
      </c>
      <c r="C404" s="32" t="str">
        <f>IFERROR(VLOOKUP("UD",'[1]Informacion '!P:Q,2,FALSE),"")</f>
        <v>Unidad</v>
      </c>
      <c r="D404" s="30">
        <v>110</v>
      </c>
      <c r="E404" s="33">
        <v>20</v>
      </c>
      <c r="F404" s="34">
        <f t="shared" ca="1" si="5"/>
        <v>2200</v>
      </c>
      <c r="G404" s="21"/>
    </row>
    <row r="405" spans="1:7" ht="22.5" x14ac:dyDescent="0.25">
      <c r="A405" s="30" t="s">
        <v>164</v>
      </c>
      <c r="B405" s="31" t="str">
        <f ca="1">IFERROR(INDEX(UNSPSCDes,MATCH(INDIRECT(ADDRESS(ROW(),COLUMN()-1,4)),UNSPSCCode,0)),IF(INDIRECT(ADDRESS(ROW(),COLUMN()-1,4))="43201402","Tarjetas de módulos de memoria",""))</f>
        <v>Tarjetas de módulos de memoria</v>
      </c>
      <c r="C405" s="32" t="str">
        <f>IFERROR(VLOOKUP("UD",'[1]Informacion '!P:Q,2,FALSE),"")</f>
        <v>Unidad</v>
      </c>
      <c r="D405" s="30">
        <v>54</v>
      </c>
      <c r="E405" s="33">
        <v>650</v>
      </c>
      <c r="F405" s="34">
        <f t="shared" ca="1" si="5"/>
        <v>35100</v>
      </c>
      <c r="G405" s="21"/>
    </row>
    <row r="406" spans="1:7" ht="22.5" x14ac:dyDescent="0.25">
      <c r="A406" s="30" t="s">
        <v>164</v>
      </c>
      <c r="B406" s="31" t="str">
        <f ca="1">IFERROR(INDEX(UNSPSCDes,MATCH(INDIRECT(ADDRESS(ROW(),COLUMN()-1,4)),UNSPSCCode,0)),IF(INDIRECT(ADDRESS(ROW(),COLUMN()-1,4))="43201402","Tarjetas de módulos de memoria",""))</f>
        <v>Tarjetas de módulos de memoria</v>
      </c>
      <c r="C406" s="32" t="str">
        <f>IFERROR(VLOOKUP("UD",'[1]Informacion '!P:Q,2,FALSE),"")</f>
        <v>Unidad</v>
      </c>
      <c r="D406" s="30">
        <v>50</v>
      </c>
      <c r="E406" s="33">
        <v>950</v>
      </c>
      <c r="F406" s="34">
        <f t="shared" ca="1" si="5"/>
        <v>47500</v>
      </c>
      <c r="G406" s="21"/>
    </row>
    <row r="407" spans="1:7" ht="22.5" x14ac:dyDescent="0.25">
      <c r="A407" s="30" t="s">
        <v>164</v>
      </c>
      <c r="B407" s="31" t="str">
        <f ca="1">IFERROR(INDEX(UNSPSCDes,MATCH(INDIRECT(ADDRESS(ROW(),COLUMN()-1,4)),UNSPSCCode,0)),IF(INDIRECT(ADDRESS(ROW(),COLUMN()-1,4))="43201402","Tarjetas de módulos de memoria",""))</f>
        <v>Tarjetas de módulos de memoria</v>
      </c>
      <c r="C407" s="32" t="str">
        <f>IFERROR(VLOOKUP("UD",'[1]Informacion '!P:Q,2,FALSE),"")</f>
        <v>Unidad</v>
      </c>
      <c r="D407" s="30">
        <v>2</v>
      </c>
      <c r="E407" s="33">
        <v>600</v>
      </c>
      <c r="F407" s="34">
        <f t="shared" ca="1" si="5"/>
        <v>1200</v>
      </c>
      <c r="G407" s="21"/>
    </row>
    <row r="408" spans="1:7" ht="22.5" x14ac:dyDescent="0.25">
      <c r="A408" s="30" t="s">
        <v>164</v>
      </c>
      <c r="B408" s="31" t="str">
        <f ca="1">IFERROR(INDEX(UNSPSCDes,MATCH(INDIRECT(ADDRESS(ROW(),COLUMN()-1,4)),UNSPSCCode,0)),IF(INDIRECT(ADDRESS(ROW(),COLUMN()-1,4))="43201402","Tarjetas de módulos de memoria",""))</f>
        <v>Tarjetas de módulos de memoria</v>
      </c>
      <c r="C408" s="32" t="str">
        <f>IFERROR(VLOOKUP("UD",'[1]Informacion '!P:Q,2,FALSE),"")</f>
        <v>Unidad</v>
      </c>
      <c r="D408" s="30">
        <v>1</v>
      </c>
      <c r="E408" s="33">
        <v>4800</v>
      </c>
      <c r="F408" s="34">
        <f t="shared" ca="1" si="5"/>
        <v>4800</v>
      </c>
      <c r="G408" s="21"/>
    </row>
    <row r="409" spans="1:7" ht="22.5" x14ac:dyDescent="0.25">
      <c r="A409" s="30" t="s">
        <v>164</v>
      </c>
      <c r="B409" s="31" t="str">
        <f ca="1">IFERROR(INDEX(UNSPSCDes,MATCH(INDIRECT(ADDRESS(ROW(),COLUMN()-1,4)),UNSPSCCode,0)),IF(INDIRECT(ADDRESS(ROW(),COLUMN()-1,4))="43201402","Tarjetas de módulos de memoria",""))</f>
        <v>Tarjetas de módulos de memoria</v>
      </c>
      <c r="C409" s="32" t="str">
        <f>IFERROR(VLOOKUP("UD",'[1]Informacion '!P:Q,2,FALSE),"")</f>
        <v>Unidad</v>
      </c>
      <c r="D409" s="30">
        <v>3</v>
      </c>
      <c r="E409" s="33">
        <v>1025</v>
      </c>
      <c r="F409" s="34">
        <f t="shared" ca="1" si="5"/>
        <v>3075</v>
      </c>
      <c r="G409" s="21"/>
    </row>
    <row r="410" spans="1:7" ht="22.5" x14ac:dyDescent="0.25">
      <c r="A410" s="30" t="s">
        <v>165</v>
      </c>
      <c r="B410" s="31" t="str">
        <f ca="1">IFERROR(INDEX(UNSPSCDes,MATCH(INDIRECT(ADDRESS(ROW(),COLUMN()-1,4)),UNSPSCCode,0)),IF(INDIRECT(ADDRESS(ROW(),COLUMN()-1,4))="43201608","Marcos de drive removibles",""))</f>
        <v>Marcos de drive removibles</v>
      </c>
      <c r="C410" s="32" t="str">
        <f>IFERROR(VLOOKUP("UD",'[1]Informacion '!P:Q,2,FALSE),"")</f>
        <v>Unidad</v>
      </c>
      <c r="D410" s="30">
        <v>2</v>
      </c>
      <c r="E410" s="33">
        <v>3500</v>
      </c>
      <c r="F410" s="34">
        <f t="shared" ca="1" si="5"/>
        <v>7000</v>
      </c>
      <c r="G410" s="21"/>
    </row>
    <row r="411" spans="1:7" ht="22.5" x14ac:dyDescent="0.25">
      <c r="A411" s="30" t="s">
        <v>165</v>
      </c>
      <c r="B411" s="31" t="str">
        <f ca="1">IFERROR(INDEX(UNSPSCDes,MATCH(INDIRECT(ADDRESS(ROW(),COLUMN()-1,4)),UNSPSCCode,0)),IF(INDIRECT(ADDRESS(ROW(),COLUMN()-1,4))="43201608","Marcos de drive removibles",""))</f>
        <v>Marcos de drive removibles</v>
      </c>
      <c r="C411" s="32" t="str">
        <f>IFERROR(VLOOKUP("UD",'[1]Informacion '!P:Q,2,FALSE),"")</f>
        <v>Unidad</v>
      </c>
      <c r="D411" s="30">
        <v>2</v>
      </c>
      <c r="E411" s="33">
        <v>3500</v>
      </c>
      <c r="F411" s="34">
        <f t="shared" ca="1" si="5"/>
        <v>7000</v>
      </c>
      <c r="G411" s="21"/>
    </row>
    <row r="412" spans="1:7" ht="33.75" x14ac:dyDescent="0.25">
      <c r="A412" s="30" t="s">
        <v>138</v>
      </c>
      <c r="B412" s="31" t="str">
        <f ca="1">IFERROR(INDEX(UNSPSCDes,MATCH(INDIRECT(ADDRESS(ROW(),COLUMN()-1,4)),UNSPSCCode,0)),IF(INDIRECT(ADDRESS(ROW(),COLUMN()-1,4))="43201811","Disco versátil digital dvd de lectura y escritura",""))</f>
        <v>Disco versátil digital dvd de lectura y escritura</v>
      </c>
      <c r="C412" s="32" t="str">
        <f>IFERROR(VLOOKUP("UD",'[1]Informacion '!P:Q,2,FALSE),"")</f>
        <v>Unidad</v>
      </c>
      <c r="D412" s="30">
        <v>2</v>
      </c>
      <c r="E412" s="33">
        <v>2300</v>
      </c>
      <c r="F412" s="34">
        <f t="shared" ca="1" si="5"/>
        <v>4600</v>
      </c>
      <c r="G412" s="21"/>
    </row>
    <row r="413" spans="1:7" ht="33.75" x14ac:dyDescent="0.25">
      <c r="A413" s="30" t="s">
        <v>166</v>
      </c>
      <c r="B413" s="31" t="str">
        <f ca="1">IFERROR(INDEX(UNSPSCDes,MATCH(INDIRECT(ADDRESS(ROW(),COLUMN()-1,4)),UNSPSCCode,0)),IF(INDIRECT(ADDRESS(ROW(),COLUMN()-1,4))="44102906","Kits de limpieza de computadores o equipos de oficina",""))</f>
        <v>Kits de limpieza de computadores o equipos de oficina</v>
      </c>
      <c r="C413" s="32" t="str">
        <f>IFERROR(VLOOKUP("UD",'[1]Informacion '!P:Q,2,FALSE),"")</f>
        <v>Unidad</v>
      </c>
      <c r="D413" s="30">
        <v>1</v>
      </c>
      <c r="E413" s="33">
        <v>5800</v>
      </c>
      <c r="F413" s="34">
        <f t="shared" ca="1" si="5"/>
        <v>5800</v>
      </c>
      <c r="G413" s="21"/>
    </row>
    <row r="414" spans="1:7" ht="33.75" x14ac:dyDescent="0.25">
      <c r="A414" s="30" t="s">
        <v>167</v>
      </c>
      <c r="B414" s="31" t="str">
        <f ca="1">IFERROR(INDEX(UNSPSCDes,MATCH(INDIRECT(ADDRESS(ROW(),COLUMN()-1,4)),UNSPSCCode,0)),IF(INDIRECT(ADDRESS(ROW(),COLUMN()-1,4))="43211708","Mouse o bola de seguimiento para computador",""))</f>
        <v>Mouse o bola de seguimiento para computador</v>
      </c>
      <c r="C414" s="32" t="str">
        <f>IFERROR(VLOOKUP("UD",'[1]Informacion '!P:Q,2,FALSE),"")</f>
        <v>Unidad</v>
      </c>
      <c r="D414" s="30">
        <v>3</v>
      </c>
      <c r="E414" s="33">
        <v>350</v>
      </c>
      <c r="F414" s="34">
        <f t="shared" ca="1" si="5"/>
        <v>1050</v>
      </c>
      <c r="G414" s="21"/>
    </row>
    <row r="415" spans="1:7" ht="16.5" x14ac:dyDescent="0.25">
      <c r="A415" s="21"/>
      <c r="B415" s="21"/>
      <c r="C415" s="21"/>
      <c r="D415" s="21"/>
      <c r="E415" s="35" t="s">
        <v>56</v>
      </c>
      <c r="F415" s="36">
        <f ca="1">SUM(Table30[MONTO TOTAL ESTIMADO])</f>
        <v>131025</v>
      </c>
      <c r="G415" s="21"/>
    </row>
    <row r="416" spans="1:7" ht="17.25" thickBot="1" x14ac:dyDescent="0.3">
      <c r="A416" s="21"/>
      <c r="B416" s="21"/>
      <c r="C416" s="21"/>
      <c r="D416" s="21"/>
      <c r="E416" s="21"/>
      <c r="F416" s="21"/>
      <c r="G416" s="21"/>
    </row>
    <row r="417" spans="1:7" ht="23.25" thickBot="1" x14ac:dyDescent="0.3">
      <c r="A417" s="22" t="s">
        <v>19</v>
      </c>
      <c r="B417" s="22" t="s">
        <v>20</v>
      </c>
      <c r="C417" s="22" t="s">
        <v>21</v>
      </c>
      <c r="D417" s="22" t="s">
        <v>22</v>
      </c>
      <c r="E417" s="22" t="s">
        <v>23</v>
      </c>
      <c r="F417" s="22" t="s">
        <v>24</v>
      </c>
      <c r="G417" s="21"/>
    </row>
    <row r="418" spans="1:7" ht="17.25" thickBot="1" x14ac:dyDescent="0.3">
      <c r="A418" s="23" t="s">
        <v>162</v>
      </c>
      <c r="B418" s="23" t="s">
        <v>162</v>
      </c>
      <c r="C418" s="23" t="s">
        <v>27</v>
      </c>
      <c r="D418" s="23" t="s">
        <v>68</v>
      </c>
      <c r="E418" s="23" t="s">
        <v>29</v>
      </c>
      <c r="F418" s="23"/>
      <c r="G418" s="21"/>
    </row>
    <row r="419" spans="1:7" ht="17.25" thickBot="1" x14ac:dyDescent="0.3">
      <c r="A419" s="45" t="s">
        <v>30</v>
      </c>
      <c r="B419" s="24" t="s">
        <v>31</v>
      </c>
      <c r="C419" s="25">
        <v>44411</v>
      </c>
      <c r="D419" s="45" t="s">
        <v>32</v>
      </c>
      <c r="E419" s="26" t="s">
        <v>33</v>
      </c>
      <c r="F419" s="27" t="s">
        <v>34</v>
      </c>
      <c r="G419" s="21"/>
    </row>
    <row r="420" spans="1:7" ht="17.25" thickBot="1" x14ac:dyDescent="0.3">
      <c r="A420" s="46"/>
      <c r="B420" s="24" t="s">
        <v>35</v>
      </c>
      <c r="C420" s="28">
        <f>IF(C419="","",IF(AND(MONTH(C419)&gt;=1,MONTH(C419)&lt;=3),1,IF(AND(MONTH(C419)&gt;=4,MONTH(C419)&lt;=6),2,IF(AND(MONTH(C419)&gt;=7,MONTH(C419)&lt;=9),3,4))))</f>
        <v>3</v>
      </c>
      <c r="D420" s="46"/>
      <c r="E420" s="26" t="s">
        <v>36</v>
      </c>
      <c r="F420" s="27" t="s">
        <v>37</v>
      </c>
      <c r="G420" s="21"/>
    </row>
    <row r="421" spans="1:7" ht="17.25" thickBot="1" x14ac:dyDescent="0.3">
      <c r="A421" s="46"/>
      <c r="B421" s="24" t="s">
        <v>38</v>
      </c>
      <c r="C421" s="25">
        <v>44419</v>
      </c>
      <c r="D421" s="46"/>
      <c r="E421" s="26" t="s">
        <v>39</v>
      </c>
      <c r="F421" s="27" t="s">
        <v>37</v>
      </c>
      <c r="G421" s="21"/>
    </row>
    <row r="422" spans="1:7" ht="17.25" thickBot="1" x14ac:dyDescent="0.3">
      <c r="A422" s="46"/>
      <c r="B422" s="24" t="s">
        <v>35</v>
      </c>
      <c r="C422" s="28">
        <f>IF(C421="","",IF(AND(MONTH(C421)&gt;=1,MONTH(C421)&lt;=3),1,IF(AND(MONTH(C421)&gt;=4,MONTH(C421)&lt;=6),2,IF(AND(MONTH(C421)&gt;=7,MONTH(C421)&lt;=9),3,4))))</f>
        <v>3</v>
      </c>
      <c r="D422" s="46"/>
      <c r="E422" s="26" t="s">
        <v>40</v>
      </c>
      <c r="F422" s="27"/>
      <c r="G422" s="21"/>
    </row>
    <row r="423" spans="1:7" ht="17.25" thickBot="1" x14ac:dyDescent="0.3">
      <c r="A423" s="21"/>
      <c r="B423" s="21"/>
      <c r="C423" s="21"/>
      <c r="D423" s="21"/>
      <c r="E423" s="21"/>
      <c r="F423" s="21"/>
      <c r="G423" s="21"/>
    </row>
    <row r="424" spans="1:7" ht="17.25" thickBot="1" x14ac:dyDescent="0.3">
      <c r="A424" s="29" t="s">
        <v>41</v>
      </c>
      <c r="B424" s="29" t="s">
        <v>42</v>
      </c>
      <c r="C424" s="29" t="s">
        <v>43</v>
      </c>
      <c r="D424" s="29" t="s">
        <v>44</v>
      </c>
      <c r="E424" s="29" t="s">
        <v>45</v>
      </c>
      <c r="F424" s="29" t="s">
        <v>46</v>
      </c>
      <c r="G424" s="21"/>
    </row>
    <row r="425" spans="1:7" ht="33.75" x14ac:dyDescent="0.25">
      <c r="A425" s="30" t="s">
        <v>138</v>
      </c>
      <c r="B425" s="31" t="str">
        <f ca="1">IFERROR(INDEX(UNSPSCDes,MATCH(INDIRECT(ADDRESS(ROW(),COLUMN()-1,4)),UNSPSCCode,0)),IF(INDIRECT(ADDRESS(ROW(),COLUMN()-1,4))="43201811","Disco versátil digital dvd de lectura y escritura",""))</f>
        <v>Disco versátil digital dvd de lectura y escritura</v>
      </c>
      <c r="C425" s="32" t="str">
        <f>IFERROR(VLOOKUP("UD",'[1]Informacion '!P:Q,2,FALSE),"")</f>
        <v>Unidad</v>
      </c>
      <c r="D425" s="30">
        <v>195</v>
      </c>
      <c r="E425" s="33">
        <v>60</v>
      </c>
      <c r="F425" s="34">
        <f ca="1">INDIRECT(ADDRESS(ROW(),COLUMN()-2,4))*INDIRECT(ADDRESS(ROW(),COLUMN()-1,4))</f>
        <v>11700</v>
      </c>
      <c r="G425" s="21"/>
    </row>
    <row r="426" spans="1:7" ht="22.5" x14ac:dyDescent="0.25">
      <c r="A426" s="30" t="s">
        <v>163</v>
      </c>
      <c r="B426" s="31" t="str">
        <f ca="1">IFERROR(INDEX(UNSPSCDes,MATCH(INDIRECT(ADDRESS(ROW(),COLUMN()-1,4)),UNSPSCCode,0)),IF(INDIRECT(ADDRESS(ROW(),COLUMN()-1,4))="43201404","Tarjetas de interface de red",""))</f>
        <v>Tarjetas de interface de red</v>
      </c>
      <c r="C426" s="32" t="str">
        <f>IFERROR(VLOOKUP("UD",'[1]Informacion '!P:Q,2,FALSE),"")</f>
        <v>Unidad</v>
      </c>
      <c r="D426" s="30">
        <v>110</v>
      </c>
      <c r="E426" s="33">
        <v>20</v>
      </c>
      <c r="F426" s="34">
        <f ca="1">INDIRECT(ADDRESS(ROW(),COLUMN()-2,4))*INDIRECT(ADDRESS(ROW(),COLUMN()-1,4))</f>
        <v>2200</v>
      </c>
      <c r="G426" s="21"/>
    </row>
    <row r="427" spans="1:7" ht="22.5" x14ac:dyDescent="0.25">
      <c r="A427" s="30" t="s">
        <v>164</v>
      </c>
      <c r="B427" s="31" t="str">
        <f ca="1">IFERROR(INDEX(UNSPSCDes,MATCH(INDIRECT(ADDRESS(ROW(),COLUMN()-1,4)),UNSPSCCode,0)),IF(INDIRECT(ADDRESS(ROW(),COLUMN()-1,4))="43201402","Tarjetas de módulos de memoria",""))</f>
        <v>Tarjetas de módulos de memoria</v>
      </c>
      <c r="C427" s="32" t="str">
        <f>IFERROR(VLOOKUP("UD",'[1]Informacion '!P:Q,2,FALSE),"")</f>
        <v>Unidad</v>
      </c>
      <c r="D427" s="30">
        <v>50</v>
      </c>
      <c r="E427" s="33">
        <v>950</v>
      </c>
      <c r="F427" s="34">
        <f ca="1">INDIRECT(ADDRESS(ROW(),COLUMN()-2,4))*INDIRECT(ADDRESS(ROW(),COLUMN()-1,4))</f>
        <v>47500</v>
      </c>
      <c r="G427" s="21"/>
    </row>
    <row r="428" spans="1:7" ht="16.5" x14ac:dyDescent="0.25">
      <c r="A428" s="21"/>
      <c r="B428" s="21"/>
      <c r="C428" s="21"/>
      <c r="D428" s="21"/>
      <c r="E428" s="35" t="s">
        <v>56</v>
      </c>
      <c r="F428" s="36">
        <f ca="1">SUM(Table31[MONTO TOTAL ESTIMADO])</f>
        <v>61400</v>
      </c>
      <c r="G428" s="21"/>
    </row>
    <row r="429" spans="1:7" ht="17.25" thickBot="1" x14ac:dyDescent="0.3">
      <c r="A429" s="21"/>
      <c r="B429" s="21"/>
      <c r="C429" s="21"/>
      <c r="D429" s="21"/>
      <c r="E429" s="21"/>
      <c r="F429" s="21"/>
      <c r="G429" s="21"/>
    </row>
    <row r="430" spans="1:7" ht="23.25" thickBot="1" x14ac:dyDescent="0.3">
      <c r="A430" s="22" t="s">
        <v>19</v>
      </c>
      <c r="B430" s="22" t="s">
        <v>20</v>
      </c>
      <c r="C430" s="22" t="s">
        <v>21</v>
      </c>
      <c r="D430" s="22" t="s">
        <v>22</v>
      </c>
      <c r="E430" s="22" t="s">
        <v>23</v>
      </c>
      <c r="F430" s="22" t="s">
        <v>24</v>
      </c>
      <c r="G430" s="21"/>
    </row>
    <row r="431" spans="1:7" ht="17.25" thickBot="1" x14ac:dyDescent="0.3">
      <c r="A431" s="23" t="s">
        <v>168</v>
      </c>
      <c r="B431" s="23" t="s">
        <v>168</v>
      </c>
      <c r="C431" s="23" t="s">
        <v>27</v>
      </c>
      <c r="D431" s="23" t="s">
        <v>58</v>
      </c>
      <c r="E431" s="23" t="s">
        <v>29</v>
      </c>
      <c r="F431" s="23"/>
      <c r="G431" s="21"/>
    </row>
    <row r="432" spans="1:7" ht="17.25" thickBot="1" x14ac:dyDescent="0.3">
      <c r="A432" s="45" t="s">
        <v>30</v>
      </c>
      <c r="B432" s="24" t="s">
        <v>31</v>
      </c>
      <c r="C432" s="25">
        <v>44250</v>
      </c>
      <c r="D432" s="45" t="s">
        <v>32</v>
      </c>
      <c r="E432" s="26" t="s">
        <v>33</v>
      </c>
      <c r="F432" s="27" t="s">
        <v>34</v>
      </c>
      <c r="G432" s="21"/>
    </row>
    <row r="433" spans="1:7" ht="17.25" thickBot="1" x14ac:dyDescent="0.3">
      <c r="A433" s="46"/>
      <c r="B433" s="24" t="s">
        <v>35</v>
      </c>
      <c r="C433" s="28">
        <f>IF(C432="","",IF(AND(MONTH(C432)&gt;=1,MONTH(C432)&lt;=3),1,IF(AND(MONTH(C432)&gt;=4,MONTH(C432)&lt;=6),2,IF(AND(MONTH(C432)&gt;=7,MONTH(C432)&lt;=9),3,4))))</f>
        <v>1</v>
      </c>
      <c r="D433" s="46"/>
      <c r="E433" s="26" t="s">
        <v>36</v>
      </c>
      <c r="F433" s="27" t="s">
        <v>37</v>
      </c>
      <c r="G433" s="21"/>
    </row>
    <row r="434" spans="1:7" ht="17.25" thickBot="1" x14ac:dyDescent="0.3">
      <c r="A434" s="46"/>
      <c r="B434" s="24" t="s">
        <v>38</v>
      </c>
      <c r="C434" s="25">
        <v>44256</v>
      </c>
      <c r="D434" s="46"/>
      <c r="E434" s="26" t="s">
        <v>39</v>
      </c>
      <c r="F434" s="27" t="s">
        <v>37</v>
      </c>
      <c r="G434" s="21"/>
    </row>
    <row r="435" spans="1:7" ht="17.25" thickBot="1" x14ac:dyDescent="0.3">
      <c r="A435" s="46"/>
      <c r="B435" s="24" t="s">
        <v>35</v>
      </c>
      <c r="C435" s="28">
        <f>IF(C434="","",IF(AND(MONTH(C434)&gt;=1,MONTH(C434)&lt;=3),1,IF(AND(MONTH(C434)&gt;=4,MONTH(C434)&lt;=6),2,IF(AND(MONTH(C434)&gt;=7,MONTH(C434)&lt;=9),3,4))))</f>
        <v>1</v>
      </c>
      <c r="D435" s="46"/>
      <c r="E435" s="26" t="s">
        <v>40</v>
      </c>
      <c r="F435" s="27"/>
      <c r="G435" s="21"/>
    </row>
    <row r="436" spans="1:7" ht="17.25" thickBot="1" x14ac:dyDescent="0.3">
      <c r="A436" s="21"/>
      <c r="B436" s="21"/>
      <c r="C436" s="21"/>
      <c r="D436" s="21"/>
      <c r="E436" s="21"/>
      <c r="F436" s="21"/>
      <c r="G436" s="21"/>
    </row>
    <row r="437" spans="1:7" ht="17.25" thickBot="1" x14ac:dyDescent="0.3">
      <c r="A437" s="29" t="s">
        <v>41</v>
      </c>
      <c r="B437" s="29" t="s">
        <v>42</v>
      </c>
      <c r="C437" s="29" t="s">
        <v>43</v>
      </c>
      <c r="D437" s="29" t="s">
        <v>44</v>
      </c>
      <c r="E437" s="29" t="s">
        <v>45</v>
      </c>
      <c r="F437" s="29" t="s">
        <v>46</v>
      </c>
      <c r="G437" s="21"/>
    </row>
    <row r="438" spans="1:7" ht="22.5" x14ac:dyDescent="0.25">
      <c r="A438" s="30" t="s">
        <v>169</v>
      </c>
      <c r="B438" s="31" t="str">
        <f t="shared" ref="B438:B452" ca="1" si="6">IFERROR(INDEX(UNSPSCDes,MATCH(INDIRECT(ADDRESS(ROW(),COLUMN()-1,4)),UNSPSCCode,0)),IF(INDIRECT(ADDRESS(ROW(),COLUMN()-1,4))="44103103","Tóner para impresoras o fax",""))</f>
        <v>Tóner para impresoras o fax</v>
      </c>
      <c r="C438" s="32" t="str">
        <f>IFERROR(VLOOKUP("UD",'[1]Informacion '!P:Q,2,FALSE),"")</f>
        <v>Unidad</v>
      </c>
      <c r="D438" s="30">
        <v>9</v>
      </c>
      <c r="E438" s="33">
        <v>8990</v>
      </c>
      <c r="F438" s="34">
        <f t="shared" ref="F438:F452" ca="1" si="7">INDIRECT(ADDRESS(ROW(),COLUMN()-2,4))*INDIRECT(ADDRESS(ROW(),COLUMN()-1,4))</f>
        <v>80910</v>
      </c>
      <c r="G438" s="21"/>
    </row>
    <row r="439" spans="1:7" ht="22.5" x14ac:dyDescent="0.25">
      <c r="A439" s="30" t="s">
        <v>169</v>
      </c>
      <c r="B439" s="31" t="str">
        <f t="shared" ca="1" si="6"/>
        <v>Tóner para impresoras o fax</v>
      </c>
      <c r="C439" s="32" t="str">
        <f>IFERROR(VLOOKUP("UD",'[1]Informacion '!P:Q,2,FALSE),"")</f>
        <v>Unidad</v>
      </c>
      <c r="D439" s="30">
        <v>9</v>
      </c>
      <c r="E439" s="33">
        <v>8990</v>
      </c>
      <c r="F439" s="34">
        <f t="shared" ca="1" si="7"/>
        <v>80910</v>
      </c>
      <c r="G439" s="21"/>
    </row>
    <row r="440" spans="1:7" ht="22.5" x14ac:dyDescent="0.25">
      <c r="A440" s="30" t="s">
        <v>169</v>
      </c>
      <c r="B440" s="31" t="str">
        <f t="shared" ca="1" si="6"/>
        <v>Tóner para impresoras o fax</v>
      </c>
      <c r="C440" s="32" t="str">
        <f>IFERROR(VLOOKUP("UD",'[1]Informacion '!P:Q,2,FALSE),"")</f>
        <v>Unidad</v>
      </c>
      <c r="D440" s="30">
        <v>9</v>
      </c>
      <c r="E440" s="33">
        <v>8990</v>
      </c>
      <c r="F440" s="34">
        <f t="shared" ca="1" si="7"/>
        <v>80910</v>
      </c>
      <c r="G440" s="21"/>
    </row>
    <row r="441" spans="1:7" ht="22.5" x14ac:dyDescent="0.25">
      <c r="A441" s="30" t="s">
        <v>169</v>
      </c>
      <c r="B441" s="31" t="str">
        <f t="shared" ca="1" si="6"/>
        <v>Tóner para impresoras o fax</v>
      </c>
      <c r="C441" s="32" t="str">
        <f>IFERROR(VLOOKUP("UD",'[1]Informacion '!P:Q,2,FALSE),"")</f>
        <v>Unidad</v>
      </c>
      <c r="D441" s="30">
        <v>15</v>
      </c>
      <c r="E441" s="33">
        <v>6500</v>
      </c>
      <c r="F441" s="34">
        <f t="shared" ca="1" si="7"/>
        <v>97500</v>
      </c>
      <c r="G441" s="21"/>
    </row>
    <row r="442" spans="1:7" ht="22.5" x14ac:dyDescent="0.25">
      <c r="A442" s="30" t="s">
        <v>169</v>
      </c>
      <c r="B442" s="31" t="str">
        <f t="shared" ca="1" si="6"/>
        <v>Tóner para impresoras o fax</v>
      </c>
      <c r="C442" s="32" t="str">
        <f>IFERROR(VLOOKUP("UD",'[1]Informacion '!P:Q,2,FALSE),"")</f>
        <v>Unidad</v>
      </c>
      <c r="D442" s="30">
        <v>5</v>
      </c>
      <c r="E442" s="33">
        <v>7990</v>
      </c>
      <c r="F442" s="34">
        <f t="shared" ca="1" si="7"/>
        <v>39950</v>
      </c>
      <c r="G442" s="21"/>
    </row>
    <row r="443" spans="1:7" ht="22.5" x14ac:dyDescent="0.25">
      <c r="A443" s="30" t="s">
        <v>169</v>
      </c>
      <c r="B443" s="31" t="str">
        <f t="shared" ca="1" si="6"/>
        <v>Tóner para impresoras o fax</v>
      </c>
      <c r="C443" s="32" t="str">
        <f>IFERROR(VLOOKUP("UD",'[1]Informacion '!P:Q,2,FALSE),"")</f>
        <v>Unidad</v>
      </c>
      <c r="D443" s="30">
        <v>5</v>
      </c>
      <c r="E443" s="33">
        <v>7990</v>
      </c>
      <c r="F443" s="34">
        <f t="shared" ca="1" si="7"/>
        <v>39950</v>
      </c>
      <c r="G443" s="21"/>
    </row>
    <row r="444" spans="1:7" ht="22.5" x14ac:dyDescent="0.25">
      <c r="A444" s="30" t="s">
        <v>169</v>
      </c>
      <c r="B444" s="31" t="str">
        <f t="shared" ca="1" si="6"/>
        <v>Tóner para impresoras o fax</v>
      </c>
      <c r="C444" s="32" t="str">
        <f>IFERROR(VLOOKUP("UD",'[1]Informacion '!P:Q,2,FALSE),"")</f>
        <v>Unidad</v>
      </c>
      <c r="D444" s="30">
        <v>5</v>
      </c>
      <c r="E444" s="33">
        <v>7990</v>
      </c>
      <c r="F444" s="34">
        <f t="shared" ca="1" si="7"/>
        <v>39950</v>
      </c>
      <c r="G444" s="21"/>
    </row>
    <row r="445" spans="1:7" ht="22.5" x14ac:dyDescent="0.25">
      <c r="A445" s="30" t="s">
        <v>169</v>
      </c>
      <c r="B445" s="31" t="str">
        <f t="shared" ca="1" si="6"/>
        <v>Tóner para impresoras o fax</v>
      </c>
      <c r="C445" s="32" t="str">
        <f>IFERROR(VLOOKUP("UD",'[1]Informacion '!P:Q,2,FALSE),"")</f>
        <v>Unidad</v>
      </c>
      <c r="D445" s="30">
        <v>10</v>
      </c>
      <c r="E445" s="33">
        <v>5600</v>
      </c>
      <c r="F445" s="34">
        <f t="shared" ca="1" si="7"/>
        <v>56000</v>
      </c>
      <c r="G445" s="21"/>
    </row>
    <row r="446" spans="1:7" ht="22.5" x14ac:dyDescent="0.25">
      <c r="A446" s="30" t="s">
        <v>169</v>
      </c>
      <c r="B446" s="31" t="str">
        <f t="shared" ca="1" si="6"/>
        <v>Tóner para impresoras o fax</v>
      </c>
      <c r="C446" s="32" t="str">
        <f>IFERROR(VLOOKUP("UD",'[1]Informacion '!P:Q,2,FALSE),"")</f>
        <v>Unidad</v>
      </c>
      <c r="D446" s="30">
        <v>5</v>
      </c>
      <c r="E446" s="33">
        <v>5950</v>
      </c>
      <c r="F446" s="34">
        <f t="shared" ca="1" si="7"/>
        <v>29750</v>
      </c>
      <c r="G446" s="21"/>
    </row>
    <row r="447" spans="1:7" ht="22.5" x14ac:dyDescent="0.25">
      <c r="A447" s="30" t="s">
        <v>169</v>
      </c>
      <c r="B447" s="31" t="str">
        <f t="shared" ca="1" si="6"/>
        <v>Tóner para impresoras o fax</v>
      </c>
      <c r="C447" s="32" t="str">
        <f>IFERROR(VLOOKUP("UD",'[1]Informacion '!P:Q,2,FALSE),"")</f>
        <v>Unidad</v>
      </c>
      <c r="D447" s="30">
        <v>5</v>
      </c>
      <c r="E447" s="33">
        <v>13300</v>
      </c>
      <c r="F447" s="34">
        <f t="shared" ca="1" si="7"/>
        <v>66500</v>
      </c>
      <c r="G447" s="21"/>
    </row>
    <row r="448" spans="1:7" ht="22.5" x14ac:dyDescent="0.25">
      <c r="A448" s="30" t="s">
        <v>169</v>
      </c>
      <c r="B448" s="31" t="str">
        <f t="shared" ca="1" si="6"/>
        <v>Tóner para impresoras o fax</v>
      </c>
      <c r="C448" s="32" t="str">
        <f>IFERROR(VLOOKUP("UD",'[1]Informacion '!P:Q,2,FALSE),"")</f>
        <v>Unidad</v>
      </c>
      <c r="D448" s="30">
        <v>5</v>
      </c>
      <c r="E448" s="33">
        <v>6550</v>
      </c>
      <c r="F448" s="34">
        <f t="shared" ca="1" si="7"/>
        <v>32750</v>
      </c>
      <c r="G448" s="21"/>
    </row>
    <row r="449" spans="1:7" ht="22.5" x14ac:dyDescent="0.25">
      <c r="A449" s="30" t="s">
        <v>169</v>
      </c>
      <c r="B449" s="31" t="str">
        <f t="shared" ca="1" si="6"/>
        <v>Tóner para impresoras o fax</v>
      </c>
      <c r="C449" s="32" t="str">
        <f>IFERROR(VLOOKUP("UD",'[1]Informacion '!P:Q,2,FALSE),"")</f>
        <v>Unidad</v>
      </c>
      <c r="D449" s="30">
        <v>5</v>
      </c>
      <c r="E449" s="33">
        <v>8350</v>
      </c>
      <c r="F449" s="34">
        <f t="shared" ca="1" si="7"/>
        <v>41750</v>
      </c>
      <c r="G449" s="21"/>
    </row>
    <row r="450" spans="1:7" ht="22.5" x14ac:dyDescent="0.25">
      <c r="A450" s="30" t="s">
        <v>169</v>
      </c>
      <c r="B450" s="31" t="str">
        <f t="shared" ca="1" si="6"/>
        <v>Tóner para impresoras o fax</v>
      </c>
      <c r="C450" s="32" t="str">
        <f>IFERROR(VLOOKUP("UD",'[1]Informacion '!P:Q,2,FALSE),"")</f>
        <v>Unidad</v>
      </c>
      <c r="D450" s="30">
        <v>5</v>
      </c>
      <c r="E450" s="33">
        <v>8300</v>
      </c>
      <c r="F450" s="34">
        <f t="shared" ca="1" si="7"/>
        <v>41500</v>
      </c>
      <c r="G450" s="21"/>
    </row>
    <row r="451" spans="1:7" ht="22.5" x14ac:dyDescent="0.25">
      <c r="A451" s="30" t="s">
        <v>169</v>
      </c>
      <c r="B451" s="31" t="str">
        <f t="shared" ca="1" si="6"/>
        <v>Tóner para impresoras o fax</v>
      </c>
      <c r="C451" s="32" t="str">
        <f>IFERROR(VLOOKUP("UD",'[1]Informacion '!P:Q,2,FALSE),"")</f>
        <v>Unidad</v>
      </c>
      <c r="D451" s="30">
        <v>5</v>
      </c>
      <c r="E451" s="33">
        <v>8250</v>
      </c>
      <c r="F451" s="34">
        <f t="shared" ca="1" si="7"/>
        <v>41250</v>
      </c>
      <c r="G451" s="21"/>
    </row>
    <row r="452" spans="1:7" ht="22.5" x14ac:dyDescent="0.25">
      <c r="A452" s="30" t="s">
        <v>169</v>
      </c>
      <c r="B452" s="31" t="str">
        <f t="shared" ca="1" si="6"/>
        <v>Tóner para impresoras o fax</v>
      </c>
      <c r="C452" s="32" t="str">
        <f>IFERROR(VLOOKUP("UD",'[1]Informacion '!P:Q,2,FALSE),"")</f>
        <v>Unidad</v>
      </c>
      <c r="D452" s="30">
        <v>5</v>
      </c>
      <c r="E452" s="33">
        <v>8250</v>
      </c>
      <c r="F452" s="34">
        <f t="shared" ca="1" si="7"/>
        <v>41250</v>
      </c>
      <c r="G452" s="21"/>
    </row>
    <row r="453" spans="1:7" ht="16.5" x14ac:dyDescent="0.25">
      <c r="A453" s="21"/>
      <c r="B453" s="21"/>
      <c r="C453" s="21"/>
      <c r="D453" s="21"/>
      <c r="E453" s="35" t="s">
        <v>56</v>
      </c>
      <c r="F453" s="36">
        <f ca="1">SUM(Table32[MONTO TOTAL ESTIMADO])</f>
        <v>810830</v>
      </c>
      <c r="G453" s="21"/>
    </row>
    <row r="454" spans="1:7" ht="17.25" thickBot="1" x14ac:dyDescent="0.3">
      <c r="A454" s="21"/>
      <c r="B454" s="21"/>
      <c r="C454" s="21"/>
      <c r="D454" s="21"/>
      <c r="E454" s="21"/>
      <c r="F454" s="21"/>
      <c r="G454" s="21"/>
    </row>
    <row r="455" spans="1:7" ht="23.25" thickBot="1" x14ac:dyDescent="0.3">
      <c r="A455" s="22" t="s">
        <v>19</v>
      </c>
      <c r="B455" s="22" t="s">
        <v>20</v>
      </c>
      <c r="C455" s="22" t="s">
        <v>21</v>
      </c>
      <c r="D455" s="22" t="s">
        <v>22</v>
      </c>
      <c r="E455" s="22" t="s">
        <v>23</v>
      </c>
      <c r="F455" s="22" t="s">
        <v>24</v>
      </c>
      <c r="G455" s="21"/>
    </row>
    <row r="456" spans="1:7" ht="17.25" thickBot="1" x14ac:dyDescent="0.3">
      <c r="A456" s="23" t="s">
        <v>170</v>
      </c>
      <c r="B456" s="23" t="s">
        <v>170</v>
      </c>
      <c r="C456" s="23" t="s">
        <v>27</v>
      </c>
      <c r="D456" s="23" t="s">
        <v>58</v>
      </c>
      <c r="E456" s="23" t="s">
        <v>129</v>
      </c>
      <c r="F456" s="23"/>
      <c r="G456" s="21"/>
    </row>
    <row r="457" spans="1:7" ht="17.25" thickBot="1" x14ac:dyDescent="0.3">
      <c r="A457" s="45" t="s">
        <v>30</v>
      </c>
      <c r="B457" s="24" t="s">
        <v>31</v>
      </c>
      <c r="C457" s="25">
        <v>44368</v>
      </c>
      <c r="D457" s="45" t="s">
        <v>32</v>
      </c>
      <c r="E457" s="26" t="s">
        <v>33</v>
      </c>
      <c r="F457" s="27" t="s">
        <v>34</v>
      </c>
      <c r="G457" s="21"/>
    </row>
    <row r="458" spans="1:7" ht="17.25" thickBot="1" x14ac:dyDescent="0.3">
      <c r="A458" s="46"/>
      <c r="B458" s="24" t="s">
        <v>35</v>
      </c>
      <c r="C458" s="28">
        <f>IF(C457="","",IF(AND(MONTH(C457)&gt;=1,MONTH(C457)&lt;=3),1,IF(AND(MONTH(C457)&gt;=4,MONTH(C457)&lt;=6),2,IF(AND(MONTH(C457)&gt;=7,MONTH(C457)&lt;=9),3,4))))</f>
        <v>2</v>
      </c>
      <c r="D458" s="46"/>
      <c r="E458" s="26" t="s">
        <v>36</v>
      </c>
      <c r="F458" s="27" t="s">
        <v>37</v>
      </c>
      <c r="G458" s="21"/>
    </row>
    <row r="459" spans="1:7" ht="17.25" thickBot="1" x14ac:dyDescent="0.3">
      <c r="A459" s="46"/>
      <c r="B459" s="24" t="s">
        <v>38</v>
      </c>
      <c r="C459" s="25">
        <v>44376</v>
      </c>
      <c r="D459" s="46"/>
      <c r="E459" s="26" t="s">
        <v>39</v>
      </c>
      <c r="F459" s="27" t="s">
        <v>37</v>
      </c>
      <c r="G459" s="21"/>
    </row>
    <row r="460" spans="1:7" ht="17.25" thickBot="1" x14ac:dyDescent="0.3">
      <c r="A460" s="46"/>
      <c r="B460" s="24" t="s">
        <v>35</v>
      </c>
      <c r="C460" s="28">
        <f>IF(C459="","",IF(AND(MONTH(C459)&gt;=1,MONTH(C459)&lt;=3),1,IF(AND(MONTH(C459)&gt;=4,MONTH(C459)&lt;=6),2,IF(AND(MONTH(C459)&gt;=7,MONTH(C459)&lt;=9),3,4))))</f>
        <v>2</v>
      </c>
      <c r="D460" s="46"/>
      <c r="E460" s="26" t="s">
        <v>40</v>
      </c>
      <c r="F460" s="27"/>
      <c r="G460" s="21"/>
    </row>
    <row r="461" spans="1:7" ht="17.25" thickBot="1" x14ac:dyDescent="0.3">
      <c r="A461" s="21"/>
      <c r="B461" s="21"/>
      <c r="C461" s="21"/>
      <c r="D461" s="21"/>
      <c r="E461" s="21"/>
      <c r="F461" s="21"/>
      <c r="G461" s="21"/>
    </row>
    <row r="462" spans="1:7" ht="17.25" thickBot="1" x14ac:dyDescent="0.3">
      <c r="A462" s="29" t="s">
        <v>41</v>
      </c>
      <c r="B462" s="29" t="s">
        <v>42</v>
      </c>
      <c r="C462" s="29" t="s">
        <v>43</v>
      </c>
      <c r="D462" s="29" t="s">
        <v>44</v>
      </c>
      <c r="E462" s="29" t="s">
        <v>45</v>
      </c>
      <c r="F462" s="29" t="s">
        <v>46</v>
      </c>
      <c r="G462" s="21"/>
    </row>
    <row r="463" spans="1:7" ht="16.5" x14ac:dyDescent="0.25">
      <c r="A463" s="30" t="s">
        <v>171</v>
      </c>
      <c r="B463" s="31" t="str">
        <f ca="1">IFERROR(INDEX(UNSPSCDes,MATCH(INDIRECT(ADDRESS(ROW(),COLUMN()-1,4)),UNSPSCCode,0)),IF(INDIRECT(ADDRESS(ROW(),COLUMN()-1,4))="47121804","Baldes para limpieza",""))</f>
        <v>Baldes para limpieza</v>
      </c>
      <c r="C463" s="32" t="str">
        <f>IFERROR(VLOOKUP("UD",'[1]Informacion '!P:Q,2,FALSE),"")</f>
        <v>Unidad</v>
      </c>
      <c r="D463" s="30">
        <v>45</v>
      </c>
      <c r="E463" s="33">
        <v>150</v>
      </c>
      <c r="F463" s="34">
        <f t="shared" ref="F463:F485" ca="1" si="8">INDIRECT(ADDRESS(ROW(),COLUMN()-2,4))*INDIRECT(ADDRESS(ROW(),COLUMN()-1,4))</f>
        <v>6750</v>
      </c>
      <c r="G463" s="21"/>
    </row>
    <row r="464" spans="1:7" ht="22.5" x14ac:dyDescent="0.25">
      <c r="A464" s="30" t="s">
        <v>172</v>
      </c>
      <c r="B464" s="31" t="str">
        <f ca="1">IFERROR(INDEX(UNSPSCDes,MATCH(INDIRECT(ADDRESS(ROW(),COLUMN()-1,4)),UNSPSCCode,0)),IF(INDIRECT(ADDRESS(ROW(),COLUMN()-1,4))="47131503","Gamuzas o cueros para lavar",""))</f>
        <v>Gamuzas o cueros para lavar</v>
      </c>
      <c r="C464" s="32" t="str">
        <f>IFERROR(VLOOKUP("UD",'[1]Informacion '!P:Q,2,FALSE),"")</f>
        <v>Unidad</v>
      </c>
      <c r="D464" s="30">
        <v>45</v>
      </c>
      <c r="E464" s="33">
        <v>250</v>
      </c>
      <c r="F464" s="34">
        <f t="shared" ca="1" si="8"/>
        <v>11250</v>
      </c>
      <c r="G464" s="21"/>
    </row>
    <row r="465" spans="1:7" ht="22.5" x14ac:dyDescent="0.25">
      <c r="A465" s="30" t="s">
        <v>173</v>
      </c>
      <c r="B465" s="31" t="str">
        <f ca="1">IFERROR(INDEX(UNSPSCDes,MATCH(INDIRECT(ADDRESS(ROW(),COLUMN()-1,4)),UNSPSCCode,0)),IF(INDIRECT(ADDRESS(ROW(),COLUMN()-1,4))="47121807","Émbolo del lavaplatos o inodoro",""))</f>
        <v>Émbolo del lavaplatos o inodoro</v>
      </c>
      <c r="C465" s="32" t="str">
        <f>IFERROR(VLOOKUP("UD",'[1]Informacion '!P:Q,2,FALSE),"")</f>
        <v>Unidad</v>
      </c>
      <c r="D465" s="30">
        <v>20</v>
      </c>
      <c r="E465" s="33">
        <v>190</v>
      </c>
      <c r="F465" s="34">
        <f t="shared" ca="1" si="8"/>
        <v>3800</v>
      </c>
      <c r="G465" s="21"/>
    </row>
    <row r="466" spans="1:7" ht="16.5" x14ac:dyDescent="0.25">
      <c r="A466" s="30" t="s">
        <v>174</v>
      </c>
      <c r="B466" s="31" t="str">
        <f ca="1">IFERROR(INDEX(UNSPSCDes,MATCH(INDIRECT(ADDRESS(ROW(),COLUMN()-1,4)),UNSPSCCode,0)),IF(INDIRECT(ADDRESS(ROW(),COLUMN()-1,4))="47121806","Escurridor de trapero",""))</f>
        <v>Escurridor de trapero</v>
      </c>
      <c r="C466" s="32" t="str">
        <f>IFERROR(VLOOKUP("UD",'[1]Informacion '!P:Q,2,FALSE),"")</f>
        <v>Unidad</v>
      </c>
      <c r="D466" s="30">
        <v>30</v>
      </c>
      <c r="E466" s="33">
        <v>2370</v>
      </c>
      <c r="F466" s="34">
        <f t="shared" ca="1" si="8"/>
        <v>71100</v>
      </c>
      <c r="G466" s="21"/>
    </row>
    <row r="467" spans="1:7" ht="16.5" x14ac:dyDescent="0.25">
      <c r="A467" s="30" t="s">
        <v>175</v>
      </c>
      <c r="B467" s="31" t="str">
        <f ca="1">IFERROR(INDEX(UNSPSCDes,MATCH(INDIRECT(ADDRESS(ROW(),COLUMN()-1,4)),UNSPSCCode,0)),IF(INDIRECT(ADDRESS(ROW(),COLUMN()-1,4))="47131605","Cepillos de limpieza",""))</f>
        <v>Cepillos de limpieza</v>
      </c>
      <c r="C467" s="32" t="str">
        <f>IFERROR(VLOOKUP("UD",'[1]Informacion '!P:Q,2,FALSE),"")</f>
        <v>Unidad</v>
      </c>
      <c r="D467" s="30">
        <v>20</v>
      </c>
      <c r="E467" s="33">
        <v>70</v>
      </c>
      <c r="F467" s="34">
        <f t="shared" ca="1" si="8"/>
        <v>1400</v>
      </c>
      <c r="G467" s="21"/>
    </row>
    <row r="468" spans="1:7" ht="22.5" x14ac:dyDescent="0.25">
      <c r="A468" s="30" t="s">
        <v>176</v>
      </c>
      <c r="B468" s="31" t="str">
        <f ca="1">IFERROR(INDEX(UNSPSCDes,MATCH(INDIRECT(ADDRESS(ROW(),COLUMN()-1,4)),UNSPSCCode,0)),IF(INDIRECT(ADDRESS(ROW(),COLUMN()-1,4))="47121803","Esponjas o esponjillas",""))</f>
        <v>Esponjas o esponjillas</v>
      </c>
      <c r="C468" s="32" t="str">
        <f>IFERROR(VLOOKUP("UD",'[1]Informacion '!P:Q,2,FALSE),"")</f>
        <v>Unidad</v>
      </c>
      <c r="D468" s="30">
        <v>250</v>
      </c>
      <c r="E468" s="33">
        <v>15</v>
      </c>
      <c r="F468" s="34">
        <f t="shared" ca="1" si="8"/>
        <v>3750</v>
      </c>
      <c r="G468" s="21"/>
    </row>
    <row r="469" spans="1:7" ht="22.5" x14ac:dyDescent="0.25">
      <c r="A469" s="30" t="s">
        <v>176</v>
      </c>
      <c r="B469" s="31" t="str">
        <f ca="1">IFERROR(INDEX(UNSPSCDes,MATCH(INDIRECT(ADDRESS(ROW(),COLUMN()-1,4)),UNSPSCCode,0)),IF(INDIRECT(ADDRESS(ROW(),COLUMN()-1,4))="47121803","Esponjas o esponjillas",""))</f>
        <v>Esponjas o esponjillas</v>
      </c>
      <c r="C469" s="32" t="str">
        <f>IFERROR(VLOOKUP("UD",'[1]Informacion '!P:Q,2,FALSE),"")</f>
        <v>Unidad</v>
      </c>
      <c r="D469" s="30">
        <v>50</v>
      </c>
      <c r="E469" s="33">
        <v>25</v>
      </c>
      <c r="F469" s="34">
        <f t="shared" ca="1" si="8"/>
        <v>1250</v>
      </c>
      <c r="G469" s="21"/>
    </row>
    <row r="470" spans="1:7" ht="16.5" x14ac:dyDescent="0.25">
      <c r="A470" s="30" t="s">
        <v>177</v>
      </c>
      <c r="B470" s="31" t="str">
        <f ca="1">IFERROR(INDEX(UNSPSCDes,MATCH(INDIRECT(ADDRESS(ROW(),COLUMN()-1,4)),UNSPSCCode,0)),IF(INDIRECT(ADDRESS(ROW(),COLUMN()-1,4))="47131604","Escobas",""))</f>
        <v>Escobas</v>
      </c>
      <c r="C470" s="32" t="str">
        <f>IFERROR(VLOOKUP("UD",'[1]Informacion '!P:Q,2,FALSE),"")</f>
        <v>Unidad</v>
      </c>
      <c r="D470" s="30">
        <v>15</v>
      </c>
      <c r="E470" s="33">
        <v>145</v>
      </c>
      <c r="F470" s="34">
        <f t="shared" ca="1" si="8"/>
        <v>2175</v>
      </c>
      <c r="G470" s="21"/>
    </row>
    <row r="471" spans="1:7" ht="22.5" x14ac:dyDescent="0.25">
      <c r="A471" s="30" t="s">
        <v>172</v>
      </c>
      <c r="B471" s="31" t="str">
        <f ca="1">IFERROR(INDEX(UNSPSCDes,MATCH(INDIRECT(ADDRESS(ROW(),COLUMN()-1,4)),UNSPSCCode,0)),IF(INDIRECT(ADDRESS(ROW(),COLUMN()-1,4))="47131503","Gamuzas o cueros para lavar",""))</f>
        <v>Gamuzas o cueros para lavar</v>
      </c>
      <c r="C471" s="32" t="str">
        <f>IFERROR(VLOOKUP("UD",'[1]Informacion '!P:Q,2,FALSE),"")</f>
        <v>Unidad</v>
      </c>
      <c r="D471" s="30">
        <v>130</v>
      </c>
      <c r="E471" s="33">
        <v>75</v>
      </c>
      <c r="F471" s="34">
        <f t="shared" ca="1" si="8"/>
        <v>9750</v>
      </c>
      <c r="G471" s="21"/>
    </row>
    <row r="472" spans="1:7" ht="22.5" x14ac:dyDescent="0.25">
      <c r="A472" s="30" t="s">
        <v>172</v>
      </c>
      <c r="B472" s="31" t="str">
        <f ca="1">IFERROR(INDEX(UNSPSCDes,MATCH(INDIRECT(ADDRESS(ROW(),COLUMN()-1,4)),UNSPSCCode,0)),IF(INDIRECT(ADDRESS(ROW(),COLUMN()-1,4))="47131503","Gamuzas o cueros para lavar",""))</f>
        <v>Gamuzas o cueros para lavar</v>
      </c>
      <c r="C472" s="32" t="str">
        <f>IFERROR(VLOOKUP("UD",'[1]Informacion '!P:Q,2,FALSE),"")</f>
        <v>Unidad</v>
      </c>
      <c r="D472" s="30">
        <v>10</v>
      </c>
      <c r="E472" s="33">
        <v>300</v>
      </c>
      <c r="F472" s="34">
        <f t="shared" ca="1" si="8"/>
        <v>3000</v>
      </c>
      <c r="G472" s="21"/>
    </row>
    <row r="473" spans="1:7" ht="16.5" x14ac:dyDescent="0.25">
      <c r="A473" s="30" t="s">
        <v>178</v>
      </c>
      <c r="B473" s="31" t="str">
        <f ca="1">IFERROR(INDEX(UNSPSCDes,MATCH(INDIRECT(ADDRESS(ROW(),COLUMN()-1,4)),UNSPSCCode,0)),IF(INDIRECT(ADDRESS(ROW(),COLUMN()-1,4))="47131618","Traperos húmedos",""))</f>
        <v>Traperos húmedos</v>
      </c>
      <c r="C473" s="32" t="str">
        <f>IFERROR(VLOOKUP("UD",'[1]Informacion '!P:Q,2,FALSE),"")</f>
        <v>Unidad</v>
      </c>
      <c r="D473" s="30">
        <v>50</v>
      </c>
      <c r="E473" s="33">
        <v>200</v>
      </c>
      <c r="F473" s="34">
        <f t="shared" ca="1" si="8"/>
        <v>10000</v>
      </c>
      <c r="G473" s="21"/>
    </row>
    <row r="474" spans="1:7" ht="22.5" x14ac:dyDescent="0.25">
      <c r="A474" s="30" t="s">
        <v>179</v>
      </c>
      <c r="B474" s="31" t="str">
        <f ca="1">IFERROR(INDEX(UNSPSCDes,MATCH(INDIRECT(ADDRESS(ROW(),COLUMN()-1,4)),UNSPSCCode,0)),IF(INDIRECT(ADDRESS(ROW(),COLUMN()-1,4))="47131810","Productos para el lavaplatos",""))</f>
        <v>Productos para el lavaplatos</v>
      </c>
      <c r="C474" s="32" t="str">
        <f>IFERROR(VLOOKUP("PAQ",'[1]Informacion '!P:Q,2,FALSE),"")</f>
        <v>Paquete</v>
      </c>
      <c r="D474" s="30">
        <v>150</v>
      </c>
      <c r="E474" s="33">
        <v>70</v>
      </c>
      <c r="F474" s="34">
        <f t="shared" ca="1" si="8"/>
        <v>10500</v>
      </c>
      <c r="G474" s="21"/>
    </row>
    <row r="475" spans="1:7" ht="22.5" x14ac:dyDescent="0.25">
      <c r="A475" s="30" t="s">
        <v>180</v>
      </c>
      <c r="B475" s="31" t="str">
        <f ca="1">IFERROR(INDEX(UNSPSCDes,MATCH(INDIRECT(ADDRESS(ROW(),COLUMN()-1,4)),UNSPSCCode,0)),IF(INDIRECT(ADDRESS(ROW(),COLUMN()-1,4))="47131824","Limpiadores de vidrio o ventanas",""))</f>
        <v>Limpiadores de vidrio o ventanas</v>
      </c>
      <c r="C475" s="32" t="str">
        <f>IFERROR(VLOOKUP("GAL",'[1]Informacion '!P:Q,2,FALSE),"")</f>
        <v>Galón</v>
      </c>
      <c r="D475" s="30">
        <v>50</v>
      </c>
      <c r="E475" s="33">
        <v>195</v>
      </c>
      <c r="F475" s="34">
        <f t="shared" ca="1" si="8"/>
        <v>9750</v>
      </c>
      <c r="G475" s="21"/>
    </row>
    <row r="476" spans="1:7" ht="22.5" x14ac:dyDescent="0.25">
      <c r="A476" s="30" t="s">
        <v>179</v>
      </c>
      <c r="B476" s="31" t="str">
        <f ca="1">IFERROR(INDEX(UNSPSCDes,MATCH(INDIRECT(ADDRESS(ROW(),COLUMN()-1,4)),UNSPSCCode,0)),IF(INDIRECT(ADDRESS(ROW(),COLUMN()-1,4))="47131810","Productos para el lavaplatos",""))</f>
        <v>Productos para el lavaplatos</v>
      </c>
      <c r="C476" s="32" t="str">
        <f>IFERROR(VLOOKUP("GAL",'[1]Informacion '!P:Q,2,FALSE),"")</f>
        <v>Galón</v>
      </c>
      <c r="D476" s="30">
        <v>140</v>
      </c>
      <c r="E476" s="33">
        <v>195</v>
      </c>
      <c r="F476" s="34">
        <f t="shared" ca="1" si="8"/>
        <v>27300</v>
      </c>
      <c r="G476" s="21"/>
    </row>
    <row r="477" spans="1:7" ht="16.5" x14ac:dyDescent="0.25">
      <c r="A477" s="30" t="s">
        <v>181</v>
      </c>
      <c r="B477" s="31" t="str">
        <f ca="1">IFERROR(INDEX(UNSPSCDes,MATCH(INDIRECT(ADDRESS(ROW(),COLUMN()-1,4)),UNSPSCCode,0)),IF(INDIRECT(ADDRESS(ROW(),COLUMN()-1,4))="47131801","Limpiadores de pisos",""))</f>
        <v>Limpiadores de pisos</v>
      </c>
      <c r="C477" s="32" t="str">
        <f>IFERROR(VLOOKUP("GAL",'[1]Informacion '!P:Q,2,FALSE),"")</f>
        <v>Galón</v>
      </c>
      <c r="D477" s="30">
        <v>245</v>
      </c>
      <c r="E477" s="33">
        <v>105</v>
      </c>
      <c r="F477" s="34">
        <f t="shared" ca="1" si="8"/>
        <v>25725</v>
      </c>
      <c r="G477" s="21"/>
    </row>
    <row r="478" spans="1:7" ht="33.75" x14ac:dyDescent="0.25">
      <c r="A478" s="30" t="s">
        <v>182</v>
      </c>
      <c r="B478" s="31" t="str">
        <f ca="1">IFERROR(INDEX(UNSPSCDes,MATCH(INDIRECT(ADDRESS(ROW(),COLUMN()-1,4)),UNSPSCCode,0)),IF(INDIRECT(ADDRESS(ROW(),COLUMN()-1,4))="41103206","Detergentes de lavado para laboratorios",""))</f>
        <v>Detergentes de lavado para laboratorios</v>
      </c>
      <c r="C478" s="32" t="str">
        <f>IFERROR(VLOOKUP("LB",'[1]Informacion '!P:Q,2,FALSE),"")</f>
        <v>Libra </v>
      </c>
      <c r="D478" s="30">
        <v>30</v>
      </c>
      <c r="E478" s="33">
        <v>1350</v>
      </c>
      <c r="F478" s="34">
        <f t="shared" ca="1" si="8"/>
        <v>40500</v>
      </c>
      <c r="G478" s="21"/>
    </row>
    <row r="479" spans="1:7" ht="16.5" x14ac:dyDescent="0.25">
      <c r="A479" s="30" t="s">
        <v>183</v>
      </c>
      <c r="B479" s="31" t="str">
        <f ca="1">IFERROR(INDEX(UNSPSCDes,MATCH(INDIRECT(ADDRESS(ROW(),COLUMN()-1,4)),UNSPSCCode,0)),IF(INDIRECT(ADDRESS(ROW(),COLUMN()-1,4))="47131812","Refrescador de aire",""))</f>
        <v>Refrescador de aire</v>
      </c>
      <c r="C479" s="32" t="str">
        <f>IFERROR(VLOOKUP("UD",'[1]Informacion '!P:Q,2,FALSE),"")</f>
        <v>Unidad</v>
      </c>
      <c r="D479" s="30">
        <v>150</v>
      </c>
      <c r="E479" s="33">
        <v>100</v>
      </c>
      <c r="F479" s="34">
        <f t="shared" ca="1" si="8"/>
        <v>15000</v>
      </c>
      <c r="G479" s="21"/>
    </row>
    <row r="480" spans="1:7" ht="22.5" x14ac:dyDescent="0.25">
      <c r="A480" s="30" t="s">
        <v>184</v>
      </c>
      <c r="B480" s="31" t="str">
        <f ca="1">IFERROR(INDEX(UNSPSCDes,MATCH(INDIRECT(ADDRESS(ROW(),COLUMN()-1,4)),UNSPSCCode,0)),IF(INDIRECT(ADDRESS(ROW(),COLUMN()-1,4))="47131829","Limpiadores de baños",""))</f>
        <v>Limpiadores de baños</v>
      </c>
      <c r="C480" s="32" t="str">
        <f>IFERROR(VLOOKUP("GAL",'[1]Informacion '!P:Q,2,FALSE),"")</f>
        <v>Galón</v>
      </c>
      <c r="D480" s="30">
        <v>45</v>
      </c>
      <c r="E480" s="33">
        <v>200</v>
      </c>
      <c r="F480" s="34">
        <f t="shared" ca="1" si="8"/>
        <v>9000</v>
      </c>
      <c r="G480" s="21"/>
    </row>
    <row r="481" spans="1:7" ht="16.5" x14ac:dyDescent="0.25">
      <c r="A481" s="30" t="s">
        <v>185</v>
      </c>
      <c r="B481" s="31" t="str">
        <f ca="1">IFERROR(INDEX(UNSPSCDes,MATCH(INDIRECT(ADDRESS(ROW(),COLUMN()-1,4)),UNSPSCCode,0)),IF(INDIRECT(ADDRESS(ROW(),COLUMN()-1,4))="47131807","Blanqueadores",""))</f>
        <v>Blanqueadores</v>
      </c>
      <c r="C481" s="32" t="str">
        <f>IFERROR(VLOOKUP("GAL",'[1]Informacion '!P:Q,2,FALSE),"")</f>
        <v>Galón</v>
      </c>
      <c r="D481" s="30">
        <v>210</v>
      </c>
      <c r="E481" s="33">
        <v>80</v>
      </c>
      <c r="F481" s="34">
        <f t="shared" ca="1" si="8"/>
        <v>16800</v>
      </c>
      <c r="G481" s="21"/>
    </row>
    <row r="482" spans="1:7" ht="16.5" x14ac:dyDescent="0.25">
      <c r="A482" s="30" t="s">
        <v>183</v>
      </c>
      <c r="B482" s="31" t="str">
        <f ca="1">IFERROR(INDEX(UNSPSCDes,MATCH(INDIRECT(ADDRESS(ROW(),COLUMN()-1,4)),UNSPSCCode,0)),IF(INDIRECT(ADDRESS(ROW(),COLUMN()-1,4))="47131812","Refrescador de aire",""))</f>
        <v>Refrescador de aire</v>
      </c>
      <c r="C482" s="32" t="str">
        <f>IFERROR(VLOOKUP("UD",'[1]Informacion '!P:Q,2,FALSE),"")</f>
        <v>Unidad</v>
      </c>
      <c r="D482" s="30">
        <v>60</v>
      </c>
      <c r="E482" s="33">
        <v>450</v>
      </c>
      <c r="F482" s="34">
        <f t="shared" ca="1" si="8"/>
        <v>27000</v>
      </c>
      <c r="G482" s="21"/>
    </row>
    <row r="483" spans="1:7" ht="16.5" x14ac:dyDescent="0.25">
      <c r="A483" s="30" t="s">
        <v>183</v>
      </c>
      <c r="B483" s="31" t="str">
        <f ca="1">IFERROR(INDEX(UNSPSCDes,MATCH(INDIRECT(ADDRESS(ROW(),COLUMN()-1,4)),UNSPSCCode,0)),IF(INDIRECT(ADDRESS(ROW(),COLUMN()-1,4))="47131812","Refrescador de aire",""))</f>
        <v>Refrescador de aire</v>
      </c>
      <c r="C483" s="32" t="str">
        <f>IFERROR(VLOOKUP("UD",'[1]Informacion '!P:Q,2,FALSE),"")</f>
        <v>Unidad</v>
      </c>
      <c r="D483" s="30">
        <v>24</v>
      </c>
      <c r="E483" s="33">
        <v>115</v>
      </c>
      <c r="F483" s="34">
        <f t="shared" ca="1" si="8"/>
        <v>2760</v>
      </c>
      <c r="G483" s="21"/>
    </row>
    <row r="484" spans="1:7" ht="22.5" x14ac:dyDescent="0.25">
      <c r="A484" s="30" t="s">
        <v>179</v>
      </c>
      <c r="B484" s="31" t="str">
        <f ca="1">IFERROR(INDEX(UNSPSCDes,MATCH(INDIRECT(ADDRESS(ROW(),COLUMN()-1,4)),UNSPSCCode,0)),IF(INDIRECT(ADDRESS(ROW(),COLUMN()-1,4))="47131810","Productos para el lavaplatos",""))</f>
        <v>Productos para el lavaplatos</v>
      </c>
      <c r="C484" s="32" t="str">
        <f>IFERROR(VLOOKUP("GAL",'[1]Informacion '!P:Q,2,FALSE),"")</f>
        <v>Galón</v>
      </c>
      <c r="D484" s="30">
        <v>12</v>
      </c>
      <c r="E484" s="33">
        <v>165</v>
      </c>
      <c r="F484" s="34">
        <f t="shared" ca="1" si="8"/>
        <v>1980</v>
      </c>
      <c r="G484" s="21"/>
    </row>
    <row r="485" spans="1:7" ht="22.5" x14ac:dyDescent="0.25">
      <c r="A485" s="30" t="s">
        <v>186</v>
      </c>
      <c r="B485" s="31" t="str">
        <f ca="1">IFERROR(INDEX(UNSPSCDes,MATCH(INDIRECT(ADDRESS(ROW(),COLUMN()-1,4)),UNSPSCCode,0)),IF(INDIRECT(ADDRESS(ROW(),COLUMN()-1,4))="47131710","Dispensadores de papel higiénico",""))</f>
        <v>Dispensadores de papel higiénico</v>
      </c>
      <c r="C485" s="32" t="str">
        <f>IFERROR(VLOOKUP("UD",'[1]Informacion '!P:Q,2,FALSE),"")</f>
        <v>Unidad</v>
      </c>
      <c r="D485" s="30">
        <v>1</v>
      </c>
      <c r="E485" s="33">
        <v>750</v>
      </c>
      <c r="F485" s="34">
        <f t="shared" ca="1" si="8"/>
        <v>750</v>
      </c>
      <c r="G485" s="21"/>
    </row>
    <row r="486" spans="1:7" ht="16.5" x14ac:dyDescent="0.25">
      <c r="A486" s="21"/>
      <c r="B486" s="21"/>
      <c r="C486" s="21"/>
      <c r="D486" s="21"/>
      <c r="E486" s="35" t="s">
        <v>56</v>
      </c>
      <c r="F486" s="36">
        <f ca="1">SUM(Table33[MONTO TOTAL ESTIMADO])</f>
        <v>311290</v>
      </c>
      <c r="G486" s="21"/>
    </row>
    <row r="487" spans="1:7" ht="17.25" thickBot="1" x14ac:dyDescent="0.3">
      <c r="A487" s="21"/>
      <c r="B487" s="21"/>
      <c r="C487" s="21"/>
      <c r="D487" s="21"/>
      <c r="E487" s="21"/>
      <c r="F487" s="21"/>
      <c r="G487" s="21"/>
    </row>
    <row r="488" spans="1:7" ht="23.25" thickBot="1" x14ac:dyDescent="0.3">
      <c r="A488" s="22" t="s">
        <v>19</v>
      </c>
      <c r="B488" s="22" t="s">
        <v>20</v>
      </c>
      <c r="C488" s="22" t="s">
        <v>21</v>
      </c>
      <c r="D488" s="22" t="s">
        <v>22</v>
      </c>
      <c r="E488" s="22" t="s">
        <v>23</v>
      </c>
      <c r="F488" s="22" t="s">
        <v>24</v>
      </c>
      <c r="G488" s="21"/>
    </row>
    <row r="489" spans="1:7" ht="17.25" thickBot="1" x14ac:dyDescent="0.3">
      <c r="A489" s="23" t="s">
        <v>170</v>
      </c>
      <c r="B489" s="23" t="s">
        <v>170</v>
      </c>
      <c r="C489" s="23" t="s">
        <v>27</v>
      </c>
      <c r="D489" s="23" t="s">
        <v>58</v>
      </c>
      <c r="E489" s="23" t="s">
        <v>129</v>
      </c>
      <c r="F489" s="23"/>
      <c r="G489" s="21"/>
    </row>
    <row r="490" spans="1:7" ht="17.25" thickBot="1" x14ac:dyDescent="0.3">
      <c r="A490" s="45" t="s">
        <v>30</v>
      </c>
      <c r="B490" s="24" t="s">
        <v>31</v>
      </c>
      <c r="C490" s="25">
        <v>44473</v>
      </c>
      <c r="D490" s="45" t="s">
        <v>32</v>
      </c>
      <c r="E490" s="26" t="s">
        <v>33</v>
      </c>
      <c r="F490" s="27" t="s">
        <v>34</v>
      </c>
      <c r="G490" s="21"/>
    </row>
    <row r="491" spans="1:7" ht="17.25" thickBot="1" x14ac:dyDescent="0.3">
      <c r="A491" s="46"/>
      <c r="B491" s="24" t="s">
        <v>35</v>
      </c>
      <c r="C491" s="28">
        <f>IF(C490="","",IF(AND(MONTH(C490)&gt;=1,MONTH(C490)&lt;=3),1,IF(AND(MONTH(C490)&gt;=4,MONTH(C490)&lt;=6),2,IF(AND(MONTH(C490)&gt;=7,MONTH(C490)&lt;=9),3,4))))</f>
        <v>4</v>
      </c>
      <c r="D491" s="46"/>
      <c r="E491" s="26" t="s">
        <v>36</v>
      </c>
      <c r="F491" s="27" t="s">
        <v>37</v>
      </c>
      <c r="G491" s="21"/>
    </row>
    <row r="492" spans="1:7" ht="17.25" thickBot="1" x14ac:dyDescent="0.3">
      <c r="A492" s="46"/>
      <c r="B492" s="24" t="s">
        <v>38</v>
      </c>
      <c r="C492" s="25">
        <v>44482</v>
      </c>
      <c r="D492" s="46"/>
      <c r="E492" s="26" t="s">
        <v>39</v>
      </c>
      <c r="F492" s="27" t="s">
        <v>37</v>
      </c>
      <c r="G492" s="21"/>
    </row>
    <row r="493" spans="1:7" ht="17.25" thickBot="1" x14ac:dyDescent="0.3">
      <c r="A493" s="46"/>
      <c r="B493" s="24" t="s">
        <v>35</v>
      </c>
      <c r="C493" s="28">
        <f>IF(C492="","",IF(AND(MONTH(C492)&gt;=1,MONTH(C492)&lt;=3),1,IF(AND(MONTH(C492)&gt;=4,MONTH(C492)&lt;=6),2,IF(AND(MONTH(C492)&gt;=7,MONTH(C492)&lt;=9),3,4))))</f>
        <v>4</v>
      </c>
      <c r="D493" s="46"/>
      <c r="E493" s="26" t="s">
        <v>40</v>
      </c>
      <c r="F493" s="27"/>
      <c r="G493" s="21"/>
    </row>
    <row r="494" spans="1:7" ht="17.25" thickBot="1" x14ac:dyDescent="0.3">
      <c r="A494" s="21"/>
      <c r="B494" s="21"/>
      <c r="C494" s="21"/>
      <c r="D494" s="21"/>
      <c r="E494" s="21"/>
      <c r="F494" s="21"/>
      <c r="G494" s="21"/>
    </row>
    <row r="495" spans="1:7" ht="17.25" thickBot="1" x14ac:dyDescent="0.3">
      <c r="A495" s="29" t="s">
        <v>41</v>
      </c>
      <c r="B495" s="29" t="s">
        <v>42</v>
      </c>
      <c r="C495" s="29" t="s">
        <v>43</v>
      </c>
      <c r="D495" s="29" t="s">
        <v>44</v>
      </c>
      <c r="E495" s="29" t="s">
        <v>45</v>
      </c>
      <c r="F495" s="29" t="s">
        <v>46</v>
      </c>
      <c r="G495" s="21"/>
    </row>
    <row r="496" spans="1:7" ht="22.5" x14ac:dyDescent="0.25">
      <c r="A496" s="30" t="s">
        <v>176</v>
      </c>
      <c r="B496" s="31" t="str">
        <f ca="1">IFERROR(INDEX(UNSPSCDes,MATCH(INDIRECT(ADDRESS(ROW(),COLUMN()-1,4)),UNSPSCCode,0)),IF(INDIRECT(ADDRESS(ROW(),COLUMN()-1,4))="47121803","Esponjas o esponjillas",""))</f>
        <v>Esponjas o esponjillas</v>
      </c>
      <c r="C496" s="32" t="str">
        <f>IFERROR(VLOOKUP("UD",'[1]Informacion '!P:Q,2,FALSE),"")</f>
        <v>Unidad</v>
      </c>
      <c r="D496" s="30">
        <v>250</v>
      </c>
      <c r="E496" s="33">
        <v>15</v>
      </c>
      <c r="F496" s="34">
        <f t="shared" ref="F496:F509" ca="1" si="9">INDIRECT(ADDRESS(ROW(),COLUMN()-2,4))*INDIRECT(ADDRESS(ROW(),COLUMN()-1,4))</f>
        <v>3750</v>
      </c>
      <c r="G496" s="21"/>
    </row>
    <row r="497" spans="1:7" ht="22.5" x14ac:dyDescent="0.25">
      <c r="A497" s="30" t="s">
        <v>176</v>
      </c>
      <c r="B497" s="31" t="str">
        <f ca="1">IFERROR(INDEX(UNSPSCDes,MATCH(INDIRECT(ADDRESS(ROW(),COLUMN()-1,4)),UNSPSCCode,0)),IF(INDIRECT(ADDRESS(ROW(),COLUMN()-1,4))="47121803","Esponjas o esponjillas",""))</f>
        <v>Esponjas o esponjillas</v>
      </c>
      <c r="C497" s="32" t="str">
        <f>IFERROR(VLOOKUP("UD",'[1]Informacion '!P:Q,2,FALSE),"")</f>
        <v>Unidad</v>
      </c>
      <c r="D497" s="30">
        <v>50</v>
      </c>
      <c r="E497" s="33">
        <v>25</v>
      </c>
      <c r="F497" s="34">
        <f t="shared" ca="1" si="9"/>
        <v>1250</v>
      </c>
      <c r="G497" s="21"/>
    </row>
    <row r="498" spans="1:7" ht="22.5" x14ac:dyDescent="0.25">
      <c r="A498" s="30" t="s">
        <v>172</v>
      </c>
      <c r="B498" s="31" t="str">
        <f ca="1">IFERROR(INDEX(UNSPSCDes,MATCH(INDIRECT(ADDRESS(ROW(),COLUMN()-1,4)),UNSPSCCode,0)),IF(INDIRECT(ADDRESS(ROW(),COLUMN()-1,4))="47131503","Gamuzas o cueros para lavar",""))</f>
        <v>Gamuzas o cueros para lavar</v>
      </c>
      <c r="C498" s="32" t="str">
        <f>IFERROR(VLOOKUP("UD",'[1]Informacion '!P:Q,2,FALSE),"")</f>
        <v>Unidad</v>
      </c>
      <c r="D498" s="30">
        <v>130</v>
      </c>
      <c r="E498" s="33">
        <v>75</v>
      </c>
      <c r="F498" s="34">
        <f t="shared" ca="1" si="9"/>
        <v>9750</v>
      </c>
      <c r="G498" s="21"/>
    </row>
    <row r="499" spans="1:7" ht="22.5" x14ac:dyDescent="0.25">
      <c r="A499" s="30" t="s">
        <v>172</v>
      </c>
      <c r="B499" s="31" t="str">
        <f ca="1">IFERROR(INDEX(UNSPSCDes,MATCH(INDIRECT(ADDRESS(ROW(),COLUMN()-1,4)),UNSPSCCode,0)),IF(INDIRECT(ADDRESS(ROW(),COLUMN()-1,4))="47131503","Gamuzas o cueros para lavar",""))</f>
        <v>Gamuzas o cueros para lavar</v>
      </c>
      <c r="C499" s="32" t="str">
        <f>IFERROR(VLOOKUP("UD",'[1]Informacion '!P:Q,2,FALSE),"")</f>
        <v>Unidad</v>
      </c>
      <c r="D499" s="30">
        <v>10</v>
      </c>
      <c r="E499" s="33">
        <v>300</v>
      </c>
      <c r="F499" s="34">
        <f t="shared" ca="1" si="9"/>
        <v>3000</v>
      </c>
      <c r="G499" s="21"/>
    </row>
    <row r="500" spans="1:7" ht="16.5" x14ac:dyDescent="0.25">
      <c r="A500" s="30" t="s">
        <v>178</v>
      </c>
      <c r="B500" s="31" t="str">
        <f ca="1">IFERROR(INDEX(UNSPSCDes,MATCH(INDIRECT(ADDRESS(ROW(),COLUMN()-1,4)),UNSPSCCode,0)),IF(INDIRECT(ADDRESS(ROW(),COLUMN()-1,4))="47131618","Traperos húmedos",""))</f>
        <v>Traperos húmedos</v>
      </c>
      <c r="C500" s="32" t="str">
        <f>IFERROR(VLOOKUP("UD",'[1]Informacion '!P:Q,2,FALSE),"")</f>
        <v>Unidad</v>
      </c>
      <c r="D500" s="30">
        <v>50</v>
      </c>
      <c r="E500" s="33">
        <v>200</v>
      </c>
      <c r="F500" s="34">
        <f t="shared" ca="1" si="9"/>
        <v>10000</v>
      </c>
      <c r="G500" s="21"/>
    </row>
    <row r="501" spans="1:7" ht="22.5" x14ac:dyDescent="0.25">
      <c r="A501" s="30" t="s">
        <v>187</v>
      </c>
      <c r="B501" s="31" t="str">
        <f ca="1">IFERROR(INDEX(UNSPSCDes,MATCH(INDIRECT(ADDRESS(ROW(),COLUMN()-1,4)),UNSPSCCode,0)),IF(INDIRECT(ADDRESS(ROW(),COLUMN()-1,4))="27131510","Depósitos de acumulador",""))</f>
        <v>Depósitos de acumulador</v>
      </c>
      <c r="C501" s="32" t="str">
        <f>IFERROR(VLOOKUP("UD",'[1]Informacion '!P:Q,2,FALSE),"")</f>
        <v>Unidad</v>
      </c>
      <c r="D501" s="30">
        <v>3</v>
      </c>
      <c r="E501" s="33">
        <v>750</v>
      </c>
      <c r="F501" s="34">
        <f t="shared" ca="1" si="9"/>
        <v>2250</v>
      </c>
      <c r="G501" s="21"/>
    </row>
    <row r="502" spans="1:7" ht="22.5" x14ac:dyDescent="0.25">
      <c r="A502" s="30" t="s">
        <v>179</v>
      </c>
      <c r="B502" s="31" t="str">
        <f ca="1">IFERROR(INDEX(UNSPSCDes,MATCH(INDIRECT(ADDRESS(ROW(),COLUMN()-1,4)),UNSPSCCode,0)),IF(INDIRECT(ADDRESS(ROW(),COLUMN()-1,4))="47131810","Productos para el lavaplatos",""))</f>
        <v>Productos para el lavaplatos</v>
      </c>
      <c r="C502" s="32" t="str">
        <f>IFERROR(VLOOKUP("PAQ",'[1]Informacion '!P:Q,2,FALSE),"")</f>
        <v>Paquete</v>
      </c>
      <c r="D502" s="30">
        <v>150</v>
      </c>
      <c r="E502" s="33">
        <v>70</v>
      </c>
      <c r="F502" s="34">
        <f t="shared" ca="1" si="9"/>
        <v>10500</v>
      </c>
      <c r="G502" s="21"/>
    </row>
    <row r="503" spans="1:7" ht="22.5" x14ac:dyDescent="0.25">
      <c r="A503" s="30" t="s">
        <v>180</v>
      </c>
      <c r="B503" s="31" t="str">
        <f ca="1">IFERROR(INDEX(UNSPSCDes,MATCH(INDIRECT(ADDRESS(ROW(),COLUMN()-1,4)),UNSPSCCode,0)),IF(INDIRECT(ADDRESS(ROW(),COLUMN()-1,4))="47131824","Limpiadores de vidrio o ventanas",""))</f>
        <v>Limpiadores de vidrio o ventanas</v>
      </c>
      <c r="C503" s="32" t="str">
        <f>IFERROR(VLOOKUP("GAL",'[1]Informacion '!P:Q,2,FALSE),"")</f>
        <v>Galón</v>
      </c>
      <c r="D503" s="30">
        <v>50</v>
      </c>
      <c r="E503" s="33">
        <v>195</v>
      </c>
      <c r="F503" s="34">
        <f t="shared" ca="1" si="9"/>
        <v>9750</v>
      </c>
      <c r="G503" s="21"/>
    </row>
    <row r="504" spans="1:7" ht="22.5" x14ac:dyDescent="0.25">
      <c r="A504" s="30" t="s">
        <v>179</v>
      </c>
      <c r="B504" s="31" t="str">
        <f ca="1">IFERROR(INDEX(UNSPSCDes,MATCH(INDIRECT(ADDRESS(ROW(),COLUMN()-1,4)),UNSPSCCode,0)),IF(INDIRECT(ADDRESS(ROW(),COLUMN()-1,4))="47131810","Productos para el lavaplatos",""))</f>
        <v>Productos para el lavaplatos</v>
      </c>
      <c r="C504" s="32" t="str">
        <f>IFERROR(VLOOKUP("GAL",'[1]Informacion '!P:Q,2,FALSE),"")</f>
        <v>Galón</v>
      </c>
      <c r="D504" s="30">
        <v>140</v>
      </c>
      <c r="E504" s="33">
        <v>195</v>
      </c>
      <c r="F504" s="34">
        <f t="shared" ca="1" si="9"/>
        <v>27300</v>
      </c>
      <c r="G504" s="21"/>
    </row>
    <row r="505" spans="1:7" ht="16.5" x14ac:dyDescent="0.25">
      <c r="A505" s="30" t="s">
        <v>181</v>
      </c>
      <c r="B505" s="31" t="str">
        <f ca="1">IFERROR(INDEX(UNSPSCDes,MATCH(INDIRECT(ADDRESS(ROW(),COLUMN()-1,4)),UNSPSCCode,0)),IF(INDIRECT(ADDRESS(ROW(),COLUMN()-1,4))="47131801","Limpiadores de pisos",""))</f>
        <v>Limpiadores de pisos</v>
      </c>
      <c r="C505" s="32" t="str">
        <f>IFERROR(VLOOKUP("GAL",'[1]Informacion '!P:Q,2,FALSE),"")</f>
        <v>Galón</v>
      </c>
      <c r="D505" s="30">
        <v>245</v>
      </c>
      <c r="E505" s="33">
        <v>105</v>
      </c>
      <c r="F505" s="34">
        <f t="shared" ca="1" si="9"/>
        <v>25725</v>
      </c>
      <c r="G505" s="21"/>
    </row>
    <row r="506" spans="1:7" ht="33.75" x14ac:dyDescent="0.25">
      <c r="A506" s="30" t="s">
        <v>182</v>
      </c>
      <c r="B506" s="31" t="str">
        <f ca="1">IFERROR(INDEX(UNSPSCDes,MATCH(INDIRECT(ADDRESS(ROW(),COLUMN()-1,4)),UNSPSCCode,0)),IF(INDIRECT(ADDRESS(ROW(),COLUMN()-1,4))="41103206","Detergentes de lavado para laboratorios",""))</f>
        <v>Detergentes de lavado para laboratorios</v>
      </c>
      <c r="C506" s="32" t="str">
        <f>IFERROR(VLOOKUP("LB",'[1]Informacion '!P:Q,2,FALSE),"")</f>
        <v>Libra </v>
      </c>
      <c r="D506" s="30">
        <v>30</v>
      </c>
      <c r="E506" s="33">
        <v>1350</v>
      </c>
      <c r="F506" s="34">
        <f t="shared" ca="1" si="9"/>
        <v>40500</v>
      </c>
      <c r="G506" s="21"/>
    </row>
    <row r="507" spans="1:7" ht="16.5" x14ac:dyDescent="0.25">
      <c r="A507" s="30" t="s">
        <v>183</v>
      </c>
      <c r="B507" s="31" t="str">
        <f ca="1">IFERROR(INDEX(UNSPSCDes,MATCH(INDIRECT(ADDRESS(ROW(),COLUMN()-1,4)),UNSPSCCode,0)),IF(INDIRECT(ADDRESS(ROW(),COLUMN()-1,4))="47131812","Refrescador de aire",""))</f>
        <v>Refrescador de aire</v>
      </c>
      <c r="C507" s="32" t="str">
        <f>IFERROR(VLOOKUP("UD",'[1]Informacion '!P:Q,2,FALSE),"")</f>
        <v>Unidad</v>
      </c>
      <c r="D507" s="30">
        <v>150</v>
      </c>
      <c r="E507" s="33">
        <v>100</v>
      </c>
      <c r="F507" s="34">
        <f t="shared" ca="1" si="9"/>
        <v>15000</v>
      </c>
      <c r="G507" s="21"/>
    </row>
    <row r="508" spans="1:7" ht="22.5" x14ac:dyDescent="0.25">
      <c r="A508" s="30" t="s">
        <v>184</v>
      </c>
      <c r="B508" s="31" t="str">
        <f ca="1">IFERROR(INDEX(UNSPSCDes,MATCH(INDIRECT(ADDRESS(ROW(),COLUMN()-1,4)),UNSPSCCode,0)),IF(INDIRECT(ADDRESS(ROW(),COLUMN()-1,4))="47131829","Limpiadores de baños",""))</f>
        <v>Limpiadores de baños</v>
      </c>
      <c r="C508" s="32" t="str">
        <f>IFERROR(VLOOKUP("GAL",'[1]Informacion '!P:Q,2,FALSE),"")</f>
        <v>Galón</v>
      </c>
      <c r="D508" s="30">
        <v>45</v>
      </c>
      <c r="E508" s="33">
        <v>200</v>
      </c>
      <c r="F508" s="34">
        <f t="shared" ca="1" si="9"/>
        <v>9000</v>
      </c>
      <c r="G508" s="21"/>
    </row>
    <row r="509" spans="1:7" ht="16.5" x14ac:dyDescent="0.25">
      <c r="A509" s="30" t="s">
        <v>185</v>
      </c>
      <c r="B509" s="31" t="str">
        <f ca="1">IFERROR(INDEX(UNSPSCDes,MATCH(INDIRECT(ADDRESS(ROW(),COLUMN()-1,4)),UNSPSCCode,0)),IF(INDIRECT(ADDRESS(ROW(),COLUMN()-1,4))="47131807","Blanqueadores",""))</f>
        <v>Blanqueadores</v>
      </c>
      <c r="C509" s="32" t="str">
        <f>IFERROR(VLOOKUP("GAL",'[1]Informacion '!P:Q,2,FALSE),"")</f>
        <v>Galón</v>
      </c>
      <c r="D509" s="30">
        <v>210</v>
      </c>
      <c r="E509" s="33">
        <v>80</v>
      </c>
      <c r="F509" s="34">
        <f t="shared" ca="1" si="9"/>
        <v>16800</v>
      </c>
      <c r="G509" s="21"/>
    </row>
    <row r="510" spans="1:7" ht="16.5" x14ac:dyDescent="0.25">
      <c r="A510" s="21"/>
      <c r="B510" s="21"/>
      <c r="C510" s="21"/>
      <c r="D510" s="21"/>
      <c r="E510" s="35" t="s">
        <v>56</v>
      </c>
      <c r="F510" s="36">
        <f ca="1">SUM(Table34[MONTO TOTAL ESTIMADO])</f>
        <v>184575</v>
      </c>
      <c r="G510" s="21"/>
    </row>
    <row r="511" spans="1:7" ht="17.25" thickBot="1" x14ac:dyDescent="0.3">
      <c r="A511" s="21"/>
      <c r="B511" s="21"/>
      <c r="C511" s="21"/>
      <c r="D511" s="21"/>
      <c r="E511" s="21"/>
      <c r="F511" s="21"/>
      <c r="G511" s="21"/>
    </row>
    <row r="512" spans="1:7" ht="23.25" thickBot="1" x14ac:dyDescent="0.3">
      <c r="A512" s="22" t="s">
        <v>19</v>
      </c>
      <c r="B512" s="22" t="s">
        <v>20</v>
      </c>
      <c r="C512" s="22" t="s">
        <v>21</v>
      </c>
      <c r="D512" s="22" t="s">
        <v>22</v>
      </c>
      <c r="E512" s="22" t="s">
        <v>23</v>
      </c>
      <c r="F512" s="22" t="s">
        <v>24</v>
      </c>
      <c r="G512" s="21"/>
    </row>
    <row r="513" spans="1:7" ht="17.25" thickBot="1" x14ac:dyDescent="0.3">
      <c r="A513" s="23" t="s">
        <v>188</v>
      </c>
      <c r="B513" s="23" t="s">
        <v>188</v>
      </c>
      <c r="C513" s="23" t="s">
        <v>27</v>
      </c>
      <c r="D513" s="23" t="s">
        <v>28</v>
      </c>
      <c r="E513" s="23" t="s">
        <v>129</v>
      </c>
      <c r="F513" s="23"/>
      <c r="G513" s="21"/>
    </row>
    <row r="514" spans="1:7" ht="17.25" thickBot="1" x14ac:dyDescent="0.3">
      <c r="A514" s="45" t="s">
        <v>30</v>
      </c>
      <c r="B514" s="24" t="s">
        <v>31</v>
      </c>
      <c r="C514" s="25">
        <v>44505</v>
      </c>
      <c r="D514" s="45" t="s">
        <v>32</v>
      </c>
      <c r="E514" s="26" t="s">
        <v>33</v>
      </c>
      <c r="F514" s="27" t="s">
        <v>34</v>
      </c>
      <c r="G514" s="21"/>
    </row>
    <row r="515" spans="1:7" ht="17.25" thickBot="1" x14ac:dyDescent="0.3">
      <c r="A515" s="46"/>
      <c r="B515" s="24" t="s">
        <v>35</v>
      </c>
      <c r="C515" s="28">
        <f>IF(C514="","",IF(AND(MONTH(C514)&gt;=1,MONTH(C514)&lt;=3),1,IF(AND(MONTH(C514)&gt;=4,MONTH(C514)&lt;=6),2,IF(AND(MONTH(C514)&gt;=7,MONTH(C514)&lt;=9),3,4))))</f>
        <v>4</v>
      </c>
      <c r="D515" s="46"/>
      <c r="E515" s="26" t="s">
        <v>36</v>
      </c>
      <c r="F515" s="27" t="s">
        <v>37</v>
      </c>
      <c r="G515" s="21"/>
    </row>
    <row r="516" spans="1:7" ht="17.25" thickBot="1" x14ac:dyDescent="0.3">
      <c r="A516" s="46"/>
      <c r="B516" s="24" t="s">
        <v>38</v>
      </c>
      <c r="C516" s="25">
        <v>44512</v>
      </c>
      <c r="D516" s="46"/>
      <c r="E516" s="26" t="s">
        <v>39</v>
      </c>
      <c r="F516" s="27" t="s">
        <v>37</v>
      </c>
      <c r="G516" s="21"/>
    </row>
    <row r="517" spans="1:7" ht="17.25" thickBot="1" x14ac:dyDescent="0.3">
      <c r="A517" s="46"/>
      <c r="B517" s="24" t="s">
        <v>35</v>
      </c>
      <c r="C517" s="28">
        <f>IF(C516="","",IF(AND(MONTH(C516)&gt;=1,MONTH(C516)&lt;=3),1,IF(AND(MONTH(C516)&gt;=4,MONTH(C516)&lt;=6),2,IF(AND(MONTH(C516)&gt;=7,MONTH(C516)&lt;=9),3,4))))</f>
        <v>4</v>
      </c>
      <c r="D517" s="46"/>
      <c r="E517" s="26" t="s">
        <v>40</v>
      </c>
      <c r="F517" s="27"/>
      <c r="G517" s="21"/>
    </row>
    <row r="518" spans="1:7" ht="17.25" thickBot="1" x14ac:dyDescent="0.3">
      <c r="A518" s="21"/>
      <c r="B518" s="21"/>
      <c r="C518" s="21"/>
      <c r="D518" s="21"/>
      <c r="E518" s="21"/>
      <c r="F518" s="21"/>
      <c r="G518" s="21"/>
    </row>
    <row r="519" spans="1:7" ht="17.25" thickBot="1" x14ac:dyDescent="0.3">
      <c r="A519" s="29" t="s">
        <v>41</v>
      </c>
      <c r="B519" s="29" t="s">
        <v>42</v>
      </c>
      <c r="C519" s="29" t="s">
        <v>43</v>
      </c>
      <c r="D519" s="29" t="s">
        <v>44</v>
      </c>
      <c r="E519" s="29" t="s">
        <v>45</v>
      </c>
      <c r="F519" s="29" t="s">
        <v>46</v>
      </c>
      <c r="G519" s="21"/>
    </row>
    <row r="520" spans="1:7" ht="33.75" x14ac:dyDescent="0.25">
      <c r="A520" s="30" t="s">
        <v>189</v>
      </c>
      <c r="B520" s="31" t="str">
        <f ca="1">IFERROR(INDEX(UNSPSCDes,MATCH(INDIRECT(ADDRESS(ROW(),COLUMN()-1,4)),UNSPSCCode,0)),IF(INDIRECT(ADDRESS(ROW(),COLUMN()-1,4))="52151504","Tazas o vasos o tapas desechables para uso doméstico",""))</f>
        <v>Tazas o vasos o tapas desechables para uso doméstico</v>
      </c>
      <c r="C520" s="32" t="str">
        <f>IFERROR(VLOOKUP("CAJ",'[1]Informacion '!P:Q,2,FALSE),"")</f>
        <v>Caja</v>
      </c>
      <c r="D520" s="30">
        <v>145</v>
      </c>
      <c r="E520" s="33">
        <v>3050</v>
      </c>
      <c r="F520" s="34">
        <f t="shared" ref="F520:F527" ca="1" si="10">INDIRECT(ADDRESS(ROW(),COLUMN()-2,4))*INDIRECT(ADDRESS(ROW(),COLUMN()-1,4))</f>
        <v>442250</v>
      </c>
      <c r="G520" s="21"/>
    </row>
    <row r="521" spans="1:7" ht="33.75" x14ac:dyDescent="0.25">
      <c r="A521" s="30" t="s">
        <v>189</v>
      </c>
      <c r="B521" s="31" t="str">
        <f ca="1">IFERROR(INDEX(UNSPSCDes,MATCH(INDIRECT(ADDRESS(ROW(),COLUMN()-1,4)),UNSPSCCode,0)),IF(INDIRECT(ADDRESS(ROW(),COLUMN()-1,4))="52151504","Tazas o vasos o tapas desechables para uso doméstico",""))</f>
        <v>Tazas o vasos o tapas desechables para uso doméstico</v>
      </c>
      <c r="C521" s="32" t="str">
        <f>IFERROR(VLOOKUP("CAJ",'[1]Informacion '!P:Q,2,FALSE),"")</f>
        <v>Caja</v>
      </c>
      <c r="D521" s="30">
        <v>150</v>
      </c>
      <c r="E521" s="33">
        <v>3225</v>
      </c>
      <c r="F521" s="34">
        <f t="shared" ca="1" si="10"/>
        <v>483750</v>
      </c>
      <c r="G521" s="21"/>
    </row>
    <row r="522" spans="1:7" ht="16.5" x14ac:dyDescent="0.25">
      <c r="A522" s="30" t="s">
        <v>190</v>
      </c>
      <c r="B522" s="31" t="str">
        <f ca="1">IFERROR(INDEX(UNSPSCDes,MATCH(INDIRECT(ADDRESS(ROW(),COLUMN()-1,4)),UNSPSCCode,0)),IF(INDIRECT(ADDRESS(ROW(),COLUMN()-1,4))="14111704","Papel higiénico",""))</f>
        <v>Papel higiénico</v>
      </c>
      <c r="C522" s="32" t="str">
        <f>IFERROR(VLOOKUP("PAQ",'[1]Informacion '!P:Q,2,FALSE),"")</f>
        <v>Paquete</v>
      </c>
      <c r="D522" s="30">
        <v>400</v>
      </c>
      <c r="E522" s="33">
        <v>130</v>
      </c>
      <c r="F522" s="34">
        <f t="shared" ca="1" si="10"/>
        <v>52000</v>
      </c>
      <c r="G522" s="21"/>
    </row>
    <row r="523" spans="1:7" ht="16.5" x14ac:dyDescent="0.25">
      <c r="A523" s="30" t="s">
        <v>190</v>
      </c>
      <c r="B523" s="31" t="str">
        <f ca="1">IFERROR(INDEX(UNSPSCDes,MATCH(INDIRECT(ADDRESS(ROW(),COLUMN()-1,4)),UNSPSCCode,0)),IF(INDIRECT(ADDRESS(ROW(),COLUMN()-1,4))="14111704","Papel higiénico",""))</f>
        <v>Papel higiénico</v>
      </c>
      <c r="C523" s="32" t="str">
        <f>IFERROR(VLOOKUP("PAQ",'[1]Informacion '!P:Q,2,FALSE),"")</f>
        <v>Paquete</v>
      </c>
      <c r="D523" s="30">
        <v>250</v>
      </c>
      <c r="E523" s="33">
        <v>650</v>
      </c>
      <c r="F523" s="34">
        <f t="shared" ca="1" si="10"/>
        <v>162500</v>
      </c>
      <c r="G523" s="21"/>
    </row>
    <row r="524" spans="1:7" ht="16.5" x14ac:dyDescent="0.25">
      <c r="A524" s="30" t="s">
        <v>190</v>
      </c>
      <c r="B524" s="31" t="str">
        <f ca="1">IFERROR(INDEX(UNSPSCDes,MATCH(INDIRECT(ADDRESS(ROW(),COLUMN()-1,4)),UNSPSCCode,0)),IF(INDIRECT(ADDRESS(ROW(),COLUMN()-1,4))="14111704","Papel higiénico",""))</f>
        <v>Papel higiénico</v>
      </c>
      <c r="C524" s="32" t="str">
        <f>IFERROR(VLOOKUP("PAQ",'[1]Informacion '!P:Q,2,FALSE),"")</f>
        <v>Paquete</v>
      </c>
      <c r="D524" s="30">
        <v>130</v>
      </c>
      <c r="E524" s="33">
        <v>360</v>
      </c>
      <c r="F524" s="34">
        <f t="shared" ca="1" si="10"/>
        <v>46800</v>
      </c>
      <c r="G524" s="21"/>
    </row>
    <row r="525" spans="1:7" ht="16.5" x14ac:dyDescent="0.25">
      <c r="A525" s="30" t="s">
        <v>191</v>
      </c>
      <c r="B525" s="31" t="str">
        <f ca="1">IFERROR(INDEX(UNSPSCDes,MATCH(INDIRECT(ADDRESS(ROW(),COLUMN()-1,4)),UNSPSCCode,0)),IF(INDIRECT(ADDRESS(ROW(),COLUMN()-1,4))="14111703","Toallas de papel",""))</f>
        <v>Toallas de papel</v>
      </c>
      <c r="C525" s="32" t="str">
        <f>IFERROR(VLOOKUP("PAQ",'[1]Informacion '!P:Q,2,FALSE),"")</f>
        <v>Paquete</v>
      </c>
      <c r="D525" s="30">
        <v>300</v>
      </c>
      <c r="E525" s="33">
        <v>135</v>
      </c>
      <c r="F525" s="34">
        <f t="shared" ca="1" si="10"/>
        <v>40500</v>
      </c>
      <c r="G525" s="21"/>
    </row>
    <row r="526" spans="1:7" ht="16.5" x14ac:dyDescent="0.25">
      <c r="A526" s="30" t="s">
        <v>192</v>
      </c>
      <c r="B526" s="31" t="str">
        <f ca="1">IFERROR(INDEX(UNSPSCDes,MATCH(INDIRECT(ADDRESS(ROW(),COLUMN()-1,4)),UNSPSCCode,0)),IF(INDIRECT(ADDRESS(ROW(),COLUMN()-1,4))="47121701","Bolsas de basura",""))</f>
        <v>Bolsas de basura</v>
      </c>
      <c r="C526" s="32" t="str">
        <f>IFERROR(VLOOKUP("PAQ",'[1]Informacion '!P:Q,2,FALSE),"")</f>
        <v>Paquete</v>
      </c>
      <c r="D526" s="30">
        <v>175</v>
      </c>
      <c r="E526" s="33">
        <v>635</v>
      </c>
      <c r="F526" s="34">
        <f t="shared" ca="1" si="10"/>
        <v>111125</v>
      </c>
      <c r="G526" s="21"/>
    </row>
    <row r="527" spans="1:7" ht="16.5" x14ac:dyDescent="0.25">
      <c r="A527" s="30" t="s">
        <v>192</v>
      </c>
      <c r="B527" s="31" t="str">
        <f ca="1">IFERROR(INDEX(UNSPSCDes,MATCH(INDIRECT(ADDRESS(ROW(),COLUMN()-1,4)),UNSPSCCode,0)),IF(INDIRECT(ADDRESS(ROW(),COLUMN()-1,4))="47121701","Bolsas de basura",""))</f>
        <v>Bolsas de basura</v>
      </c>
      <c r="C527" s="32" t="str">
        <f>IFERROR(VLOOKUP("PAQ",'[1]Informacion '!P:Q,2,FALSE),"")</f>
        <v>Paquete</v>
      </c>
      <c r="D527" s="30">
        <v>100</v>
      </c>
      <c r="E527" s="33">
        <v>360</v>
      </c>
      <c r="F527" s="34">
        <f t="shared" ca="1" si="10"/>
        <v>36000</v>
      </c>
      <c r="G527" s="21"/>
    </row>
    <row r="528" spans="1:7" ht="16.5" x14ac:dyDescent="0.25">
      <c r="A528" s="21"/>
      <c r="B528" s="21"/>
      <c r="C528" s="21"/>
      <c r="D528" s="21"/>
      <c r="E528" s="35" t="s">
        <v>56</v>
      </c>
      <c r="F528" s="36">
        <f ca="1">SUM(Table35[MONTO TOTAL ESTIMADO])</f>
        <v>1374925</v>
      </c>
      <c r="G528" s="21"/>
    </row>
    <row r="529" spans="1:7" ht="17.25" thickBot="1" x14ac:dyDescent="0.3">
      <c r="A529" s="21"/>
      <c r="B529" s="21"/>
      <c r="C529" s="21"/>
      <c r="D529" s="21"/>
      <c r="E529" s="21"/>
      <c r="F529" s="21"/>
      <c r="G529" s="21"/>
    </row>
    <row r="530" spans="1:7" ht="23.25" thickBot="1" x14ac:dyDescent="0.3">
      <c r="A530" s="22" t="s">
        <v>19</v>
      </c>
      <c r="B530" s="22" t="s">
        <v>20</v>
      </c>
      <c r="C530" s="22" t="s">
        <v>21</v>
      </c>
      <c r="D530" s="22" t="s">
        <v>22</v>
      </c>
      <c r="E530" s="22" t="s">
        <v>23</v>
      </c>
      <c r="F530" s="22" t="s">
        <v>24</v>
      </c>
      <c r="G530" s="21"/>
    </row>
    <row r="531" spans="1:7" ht="17.25" thickBot="1" x14ac:dyDescent="0.3">
      <c r="A531" s="23" t="s">
        <v>193</v>
      </c>
      <c r="B531" s="23" t="s">
        <v>193</v>
      </c>
      <c r="C531" s="23" t="s">
        <v>27</v>
      </c>
      <c r="D531" s="23" t="s">
        <v>68</v>
      </c>
      <c r="E531" s="23" t="s">
        <v>29</v>
      </c>
      <c r="F531" s="23"/>
      <c r="G531" s="21"/>
    </row>
    <row r="532" spans="1:7" ht="17.25" thickBot="1" x14ac:dyDescent="0.3">
      <c r="A532" s="45" t="s">
        <v>30</v>
      </c>
      <c r="B532" s="24" t="s">
        <v>31</v>
      </c>
      <c r="C532" s="25">
        <v>44448</v>
      </c>
      <c r="D532" s="45" t="s">
        <v>32</v>
      </c>
      <c r="E532" s="26" t="s">
        <v>33</v>
      </c>
      <c r="F532" s="27" t="s">
        <v>34</v>
      </c>
      <c r="G532" s="21"/>
    </row>
    <row r="533" spans="1:7" ht="17.25" thickBot="1" x14ac:dyDescent="0.3">
      <c r="A533" s="46"/>
      <c r="B533" s="24" t="s">
        <v>35</v>
      </c>
      <c r="C533" s="28">
        <f>IF(C532="","",IF(AND(MONTH(C532)&gt;=1,MONTH(C532)&lt;=3),1,IF(AND(MONTH(C532)&gt;=4,MONTH(C532)&lt;=6),2,IF(AND(MONTH(C532)&gt;=7,MONTH(C532)&lt;=9),3,4))))</f>
        <v>3</v>
      </c>
      <c r="D533" s="46"/>
      <c r="E533" s="26" t="s">
        <v>36</v>
      </c>
      <c r="F533" s="27" t="s">
        <v>37</v>
      </c>
      <c r="G533" s="21"/>
    </row>
    <row r="534" spans="1:7" ht="17.25" thickBot="1" x14ac:dyDescent="0.3">
      <c r="A534" s="46"/>
      <c r="B534" s="24" t="s">
        <v>38</v>
      </c>
      <c r="C534" s="25">
        <v>44456</v>
      </c>
      <c r="D534" s="46"/>
      <c r="E534" s="26" t="s">
        <v>39</v>
      </c>
      <c r="F534" s="27" t="s">
        <v>37</v>
      </c>
      <c r="G534" s="21"/>
    </row>
    <row r="535" spans="1:7" ht="17.25" thickBot="1" x14ac:dyDescent="0.3">
      <c r="A535" s="46"/>
      <c r="B535" s="24" t="s">
        <v>35</v>
      </c>
      <c r="C535" s="28">
        <f>IF(C534="","",IF(AND(MONTH(C534)&gt;=1,MONTH(C534)&lt;=3),1,IF(AND(MONTH(C534)&gt;=4,MONTH(C534)&lt;=6),2,IF(AND(MONTH(C534)&gt;=7,MONTH(C534)&lt;=9),3,4))))</f>
        <v>3</v>
      </c>
      <c r="D535" s="46"/>
      <c r="E535" s="26" t="s">
        <v>40</v>
      </c>
      <c r="F535" s="27"/>
      <c r="G535" s="21"/>
    </row>
    <row r="536" spans="1:7" ht="17.25" thickBot="1" x14ac:dyDescent="0.3">
      <c r="A536" s="21"/>
      <c r="B536" s="21"/>
      <c r="C536" s="21"/>
      <c r="D536" s="21"/>
      <c r="E536" s="21"/>
      <c r="F536" s="21"/>
      <c r="G536" s="21"/>
    </row>
    <row r="537" spans="1:7" ht="17.25" thickBot="1" x14ac:dyDescent="0.3">
      <c r="A537" s="29" t="s">
        <v>41</v>
      </c>
      <c r="B537" s="29" t="s">
        <v>42</v>
      </c>
      <c r="C537" s="29" t="s">
        <v>43</v>
      </c>
      <c r="D537" s="29" t="s">
        <v>44</v>
      </c>
      <c r="E537" s="29" t="s">
        <v>45</v>
      </c>
      <c r="F537" s="29" t="s">
        <v>46</v>
      </c>
      <c r="G537" s="21"/>
    </row>
    <row r="538" spans="1:7" ht="16.5" x14ac:dyDescent="0.25">
      <c r="A538" s="30" t="s">
        <v>194</v>
      </c>
      <c r="B538" s="31" t="str">
        <f ca="1">IFERROR(INDEX(UNSPSCDes,MATCH(INDIRECT(ADDRESS(ROW(),COLUMN()-1,4)),UNSPSCCode,0)),IF(INDIRECT(ADDRESS(ROW(),COLUMN()-1,4))="31211508","Pinturas acrílicas",""))</f>
        <v>Pinturas acrílicas</v>
      </c>
      <c r="C538" s="32" t="str">
        <f>IFERROR(VLOOKUP("GAL",'[1]Informacion '!P:Q,2,FALSE),"")</f>
        <v>Galón</v>
      </c>
      <c r="D538" s="30">
        <v>12</v>
      </c>
      <c r="E538" s="33">
        <v>1350</v>
      </c>
      <c r="F538" s="34">
        <f t="shared" ref="F538:F545" ca="1" si="11">INDIRECT(ADDRESS(ROW(),COLUMN()-2,4))*INDIRECT(ADDRESS(ROW(),COLUMN()-1,4))</f>
        <v>16200</v>
      </c>
      <c r="G538" s="21"/>
    </row>
    <row r="539" spans="1:7" ht="22.5" x14ac:dyDescent="0.25">
      <c r="A539" s="30" t="s">
        <v>195</v>
      </c>
      <c r="B539" s="31" t="str">
        <f ca="1">IFERROR(INDEX(UNSPSCDes,MATCH(INDIRECT(ADDRESS(ROW(),COLUMN()-1,4)),UNSPSCCode,0)),IF(INDIRECT(ADDRESS(ROW(),COLUMN()-1,4))="60122701","Pinturas o medios para esmaltar",""))</f>
        <v>Pinturas o medios para esmaltar</v>
      </c>
      <c r="C539" s="32" t="str">
        <f>IFERROR(VLOOKUP("GAL",'[1]Informacion '!P:Q,2,FALSE),"")</f>
        <v>Galón</v>
      </c>
      <c r="D539" s="30">
        <v>34</v>
      </c>
      <c r="E539" s="33">
        <v>1750</v>
      </c>
      <c r="F539" s="34">
        <f t="shared" ca="1" si="11"/>
        <v>59500</v>
      </c>
      <c r="G539" s="21"/>
    </row>
    <row r="540" spans="1:7" ht="22.5" x14ac:dyDescent="0.25">
      <c r="A540" s="30" t="s">
        <v>196</v>
      </c>
      <c r="B540" s="31" t="str">
        <f ca="1">IFERROR(INDEX(UNSPSCDes,MATCH(INDIRECT(ADDRESS(ROW(),COLUMN()-1,4)),UNSPSCCode,0)),IF(INDIRECT(ADDRESS(ROW(),COLUMN()-1,4))="31211604","Diluyentes para pinturas",""))</f>
        <v>Diluyentes para pinturas</v>
      </c>
      <c r="C540" s="32" t="str">
        <f>IFERROR(VLOOKUP("GAL",'[1]Informacion '!P:Q,2,FALSE),"")</f>
        <v>Galón</v>
      </c>
      <c r="D540" s="30">
        <v>5</v>
      </c>
      <c r="E540" s="33">
        <v>400</v>
      </c>
      <c r="F540" s="34">
        <f t="shared" ca="1" si="11"/>
        <v>2000</v>
      </c>
      <c r="G540" s="21"/>
    </row>
    <row r="541" spans="1:7" ht="16.5" x14ac:dyDescent="0.25">
      <c r="A541" s="30" t="s">
        <v>197</v>
      </c>
      <c r="B541" s="31" t="str">
        <f ca="1">IFERROR(INDEX(UNSPSCDes,MATCH(INDIRECT(ADDRESS(ROW(),COLUMN()-1,4)),UNSPSCCode,0)),IF(INDIRECT(ADDRESS(ROW(),COLUMN()-1,4))="24111501","Bolsas de lona",""))</f>
        <v>Bolsas de lona</v>
      </c>
      <c r="C541" s="32" t="str">
        <f>IFERROR(VLOOKUP("UD",'[1]Informacion '!P:Q,2,FALSE),"")</f>
        <v>Unidad</v>
      </c>
      <c r="D541" s="30">
        <v>10</v>
      </c>
      <c r="E541" s="33">
        <v>1050</v>
      </c>
      <c r="F541" s="34">
        <f t="shared" ca="1" si="11"/>
        <v>10500</v>
      </c>
      <c r="G541" s="21"/>
    </row>
    <row r="542" spans="1:7" ht="16.5" x14ac:dyDescent="0.25">
      <c r="A542" s="30" t="s">
        <v>198</v>
      </c>
      <c r="B542" s="31" t="str">
        <f ca="1">IFERROR(INDEX(UNSPSCDes,MATCH(INDIRECT(ADDRESS(ROW(),COLUMN()-1,4)),UNSPSCCode,0)),IF(INDIRECT(ADDRESS(ROW(),COLUMN()-1,4))="31211904","Brochas",""))</f>
        <v>Brochas</v>
      </c>
      <c r="C542" s="32" t="str">
        <f>IFERROR(VLOOKUP("UD",'[1]Informacion '!P:Q,2,FALSE),"")</f>
        <v>Unidad</v>
      </c>
      <c r="D542" s="30">
        <v>16</v>
      </c>
      <c r="E542" s="33">
        <v>105</v>
      </c>
      <c r="F542" s="34">
        <f t="shared" ca="1" si="11"/>
        <v>1680</v>
      </c>
      <c r="G542" s="21"/>
    </row>
    <row r="543" spans="1:7" ht="16.5" x14ac:dyDescent="0.25">
      <c r="A543" s="30" t="s">
        <v>198</v>
      </c>
      <c r="B543" s="31" t="str">
        <f ca="1">IFERROR(INDEX(UNSPSCDes,MATCH(INDIRECT(ADDRESS(ROW(),COLUMN()-1,4)),UNSPSCCode,0)),IF(INDIRECT(ADDRESS(ROW(),COLUMN()-1,4))="31211904","Brochas",""))</f>
        <v>Brochas</v>
      </c>
      <c r="C543" s="32" t="str">
        <f>IFERROR(VLOOKUP("UD",'[1]Informacion '!P:Q,2,FALSE),"")</f>
        <v>Unidad</v>
      </c>
      <c r="D543" s="30">
        <v>15</v>
      </c>
      <c r="E543" s="33">
        <v>125</v>
      </c>
      <c r="F543" s="34">
        <f t="shared" ca="1" si="11"/>
        <v>1875</v>
      </c>
      <c r="G543" s="21"/>
    </row>
    <row r="544" spans="1:7" ht="16.5" x14ac:dyDescent="0.25">
      <c r="A544" s="30" t="s">
        <v>199</v>
      </c>
      <c r="B544" s="31" t="str">
        <f ca="1">IFERROR(INDEX(UNSPSCDes,MATCH(INDIRECT(ADDRESS(ROW(),COLUMN()-1,4)),UNSPSCCode,0)),IF(INDIRECT(ADDRESS(ROW(),COLUMN()-1,4))="31211906","Rodillos de pintar",""))</f>
        <v>Rodillos de pintar</v>
      </c>
      <c r="C544" s="32" t="str">
        <f>IFERROR(VLOOKUP("UD",'[1]Informacion '!P:Q,2,FALSE),"")</f>
        <v>Unidad</v>
      </c>
      <c r="D544" s="30">
        <v>14</v>
      </c>
      <c r="E544" s="33">
        <v>200</v>
      </c>
      <c r="F544" s="34">
        <f t="shared" ca="1" si="11"/>
        <v>2800</v>
      </c>
      <c r="G544" s="21"/>
    </row>
    <row r="545" spans="1:7" ht="16.5" x14ac:dyDescent="0.25">
      <c r="A545" s="30" t="s">
        <v>200</v>
      </c>
      <c r="B545" s="31" t="str">
        <f ca="1">IFERROR(INDEX(UNSPSCDes,MATCH(INDIRECT(ADDRESS(ROW(),COLUMN()-1,4)),UNSPSCCode,0)),IF(INDIRECT(ADDRESS(ROW(),COLUMN()-1,4))="31211909","Bandejas de pintura",""))</f>
        <v>Bandejas de pintura</v>
      </c>
      <c r="C545" s="32" t="str">
        <f>IFERROR(VLOOKUP("UD",'[1]Informacion '!P:Q,2,FALSE),"")</f>
        <v>Unidad</v>
      </c>
      <c r="D545" s="30">
        <v>10</v>
      </c>
      <c r="E545" s="33">
        <v>125</v>
      </c>
      <c r="F545" s="34">
        <f t="shared" ca="1" si="11"/>
        <v>1250</v>
      </c>
      <c r="G545" s="21"/>
    </row>
    <row r="546" spans="1:7" ht="16.5" x14ac:dyDescent="0.25">
      <c r="A546" s="21"/>
      <c r="B546" s="21"/>
      <c r="C546" s="21"/>
      <c r="D546" s="21"/>
      <c r="E546" s="35" t="s">
        <v>56</v>
      </c>
      <c r="F546" s="36">
        <f ca="1">SUM(Table36[MONTO TOTAL ESTIMADO])</f>
        <v>95805</v>
      </c>
      <c r="G546" s="21"/>
    </row>
    <row r="547" spans="1:7" ht="17.25" thickBot="1" x14ac:dyDescent="0.3">
      <c r="A547" s="21"/>
      <c r="B547" s="21"/>
      <c r="C547" s="21"/>
      <c r="D547" s="21"/>
      <c r="E547" s="21"/>
      <c r="F547" s="21"/>
      <c r="G547" s="21"/>
    </row>
    <row r="548" spans="1:7" ht="23.25" thickBot="1" x14ac:dyDescent="0.3">
      <c r="A548" s="22" t="s">
        <v>19</v>
      </c>
      <c r="B548" s="22" t="s">
        <v>20</v>
      </c>
      <c r="C548" s="22" t="s">
        <v>21</v>
      </c>
      <c r="D548" s="22" t="s">
        <v>22</v>
      </c>
      <c r="E548" s="22" t="s">
        <v>23</v>
      </c>
      <c r="F548" s="22" t="s">
        <v>24</v>
      </c>
      <c r="G548" s="21"/>
    </row>
    <row r="549" spans="1:7" ht="17.25" thickBot="1" x14ac:dyDescent="0.3">
      <c r="A549" s="23" t="s">
        <v>201</v>
      </c>
      <c r="B549" s="23" t="s">
        <v>201</v>
      </c>
      <c r="C549" s="23" t="s">
        <v>27</v>
      </c>
      <c r="D549" s="23" t="s">
        <v>68</v>
      </c>
      <c r="E549" s="23" t="s">
        <v>29</v>
      </c>
      <c r="F549" s="23"/>
      <c r="G549" s="21"/>
    </row>
    <row r="550" spans="1:7" ht="17.25" thickBot="1" x14ac:dyDescent="0.3">
      <c r="A550" s="45" t="s">
        <v>30</v>
      </c>
      <c r="B550" s="24" t="s">
        <v>31</v>
      </c>
      <c r="C550" s="25">
        <v>44208</v>
      </c>
      <c r="D550" s="45" t="s">
        <v>32</v>
      </c>
      <c r="E550" s="26" t="s">
        <v>33</v>
      </c>
      <c r="F550" s="27" t="s">
        <v>34</v>
      </c>
      <c r="G550" s="21"/>
    </row>
    <row r="551" spans="1:7" ht="17.25" thickBot="1" x14ac:dyDescent="0.3">
      <c r="A551" s="46"/>
      <c r="B551" s="24" t="s">
        <v>35</v>
      </c>
      <c r="C551" s="28">
        <f>IF(C550="","",IF(AND(MONTH(C550)&gt;=1,MONTH(C550)&lt;=3),1,IF(AND(MONTH(C550)&gt;=4,MONTH(C550)&lt;=6),2,IF(AND(MONTH(C550)&gt;=7,MONTH(C550)&lt;=9),3,4))))</f>
        <v>1</v>
      </c>
      <c r="D551" s="46"/>
      <c r="E551" s="26" t="s">
        <v>36</v>
      </c>
      <c r="F551" s="27" t="s">
        <v>37</v>
      </c>
      <c r="G551" s="21"/>
    </row>
    <row r="552" spans="1:7" ht="17.25" thickBot="1" x14ac:dyDescent="0.3">
      <c r="A552" s="46"/>
      <c r="B552" s="24" t="s">
        <v>38</v>
      </c>
      <c r="C552" s="25">
        <v>44216</v>
      </c>
      <c r="D552" s="46"/>
      <c r="E552" s="26" t="s">
        <v>39</v>
      </c>
      <c r="F552" s="27" t="s">
        <v>37</v>
      </c>
      <c r="G552" s="21"/>
    </row>
    <row r="553" spans="1:7" ht="17.25" thickBot="1" x14ac:dyDescent="0.3">
      <c r="A553" s="46"/>
      <c r="B553" s="24" t="s">
        <v>35</v>
      </c>
      <c r="C553" s="28">
        <f>IF(C552="","",IF(AND(MONTH(C552)&gt;=1,MONTH(C552)&lt;=3),1,IF(AND(MONTH(C552)&gt;=4,MONTH(C552)&lt;=6),2,IF(AND(MONTH(C552)&gt;=7,MONTH(C552)&lt;=9),3,4))))</f>
        <v>1</v>
      </c>
      <c r="D553" s="46"/>
      <c r="E553" s="26" t="s">
        <v>40</v>
      </c>
      <c r="F553" s="27"/>
      <c r="G553" s="21"/>
    </row>
    <row r="554" spans="1:7" ht="17.25" thickBot="1" x14ac:dyDescent="0.3">
      <c r="A554" s="21"/>
      <c r="B554" s="21"/>
      <c r="C554" s="21"/>
      <c r="D554" s="21"/>
      <c r="E554" s="21"/>
      <c r="F554" s="21"/>
      <c r="G554" s="21"/>
    </row>
    <row r="555" spans="1:7" ht="17.25" thickBot="1" x14ac:dyDescent="0.3">
      <c r="A555" s="29" t="s">
        <v>41</v>
      </c>
      <c r="B555" s="29" t="s">
        <v>42</v>
      </c>
      <c r="C555" s="29" t="s">
        <v>43</v>
      </c>
      <c r="D555" s="29" t="s">
        <v>44</v>
      </c>
      <c r="E555" s="29" t="s">
        <v>45</v>
      </c>
      <c r="F555" s="29" t="s">
        <v>46</v>
      </c>
      <c r="G555" s="21"/>
    </row>
    <row r="556" spans="1:7" ht="16.5" x14ac:dyDescent="0.25">
      <c r="A556" s="30" t="s">
        <v>202</v>
      </c>
      <c r="B556" s="31" t="str">
        <f ca="1">IFERROR(INDEX(UNSPSCDes,MATCH(INDIRECT(ADDRESS(ROW(),COLUMN()-1,4)),UNSPSCCode,0)),IF(INDIRECT(ADDRESS(ROW(),COLUMN()-1,4))="50202301","Agua",""))</f>
        <v>Agua</v>
      </c>
      <c r="C556" s="32" t="str">
        <f>IFERROR(VLOOKUP("PAQ",'[1]Informacion '!P:Q,2,FALSE),"")</f>
        <v>Paquete</v>
      </c>
      <c r="D556" s="30">
        <v>95</v>
      </c>
      <c r="E556" s="33">
        <v>350</v>
      </c>
      <c r="F556" s="34">
        <f ca="1">INDIRECT(ADDRESS(ROW(),COLUMN()-2,4))*INDIRECT(ADDRESS(ROW(),COLUMN()-1,4))</f>
        <v>33250</v>
      </c>
      <c r="G556" s="21"/>
    </row>
    <row r="557" spans="1:7" ht="16.5" x14ac:dyDescent="0.25">
      <c r="A557" s="30" t="s">
        <v>202</v>
      </c>
      <c r="B557" s="31" t="str">
        <f ca="1">IFERROR(INDEX(UNSPSCDes,MATCH(INDIRECT(ADDRESS(ROW(),COLUMN()-1,4)),UNSPSCCode,0)),IF(INDIRECT(ADDRESS(ROW(),COLUMN()-1,4))="50202301","Agua",""))</f>
        <v>Agua</v>
      </c>
      <c r="C557" s="32" t="str">
        <f>IFERROR(VLOOKUP("UD",'[1]Informacion '!P:Q,2,FALSE),"")</f>
        <v>Unidad</v>
      </c>
      <c r="D557" s="30">
        <v>810</v>
      </c>
      <c r="E557" s="33">
        <v>60</v>
      </c>
      <c r="F557" s="34">
        <f ca="1">INDIRECT(ADDRESS(ROW(),COLUMN()-2,4))*INDIRECT(ADDRESS(ROW(),COLUMN()-1,4))</f>
        <v>48600</v>
      </c>
      <c r="G557" s="21"/>
    </row>
    <row r="558" spans="1:7" ht="16.5" x14ac:dyDescent="0.25">
      <c r="A558" s="21"/>
      <c r="B558" s="21"/>
      <c r="C558" s="21"/>
      <c r="D558" s="21"/>
      <c r="E558" s="35" t="s">
        <v>56</v>
      </c>
      <c r="F558" s="36">
        <f ca="1">SUM(Table37[MONTO TOTAL ESTIMADO])</f>
        <v>81850</v>
      </c>
      <c r="G558" s="21"/>
    </row>
    <row r="559" spans="1:7" ht="17.25" thickBot="1" x14ac:dyDescent="0.3">
      <c r="A559" s="21"/>
      <c r="B559" s="21"/>
      <c r="C559" s="21"/>
      <c r="D559" s="21"/>
      <c r="E559" s="21"/>
      <c r="F559" s="21"/>
      <c r="G559" s="21"/>
    </row>
    <row r="560" spans="1:7" ht="23.25" thickBot="1" x14ac:dyDescent="0.3">
      <c r="A560" s="22" t="s">
        <v>19</v>
      </c>
      <c r="B560" s="22" t="s">
        <v>20</v>
      </c>
      <c r="C560" s="22" t="s">
        <v>21</v>
      </c>
      <c r="D560" s="22" t="s">
        <v>22</v>
      </c>
      <c r="E560" s="22" t="s">
        <v>23</v>
      </c>
      <c r="F560" s="22" t="s">
        <v>24</v>
      </c>
      <c r="G560" s="21"/>
    </row>
    <row r="561" spans="1:7" ht="17.25" thickBot="1" x14ac:dyDescent="0.3">
      <c r="A561" s="23" t="s">
        <v>203</v>
      </c>
      <c r="B561" s="23" t="s">
        <v>204</v>
      </c>
      <c r="C561" s="23" t="s">
        <v>27</v>
      </c>
      <c r="D561" s="23" t="s">
        <v>58</v>
      </c>
      <c r="E561" s="23" t="s">
        <v>129</v>
      </c>
      <c r="F561" s="23"/>
      <c r="G561" s="21"/>
    </row>
    <row r="562" spans="1:7" ht="17.25" thickBot="1" x14ac:dyDescent="0.3">
      <c r="A562" s="45" t="s">
        <v>30</v>
      </c>
      <c r="B562" s="24" t="s">
        <v>31</v>
      </c>
      <c r="C562" s="25">
        <v>44236</v>
      </c>
      <c r="D562" s="45" t="s">
        <v>32</v>
      </c>
      <c r="E562" s="26" t="s">
        <v>33</v>
      </c>
      <c r="F562" s="27" t="s">
        <v>34</v>
      </c>
      <c r="G562" s="21"/>
    </row>
    <row r="563" spans="1:7" ht="17.25" thickBot="1" x14ac:dyDescent="0.3">
      <c r="A563" s="46"/>
      <c r="B563" s="24" t="s">
        <v>35</v>
      </c>
      <c r="C563" s="28">
        <f>IF(C562="","",IF(AND(MONTH(C562)&gt;=1,MONTH(C562)&lt;=3),1,IF(AND(MONTH(C562)&gt;=4,MONTH(C562)&lt;=6),2,IF(AND(MONTH(C562)&gt;=7,MONTH(C562)&lt;=9),3,4))))</f>
        <v>1</v>
      </c>
      <c r="D563" s="46"/>
      <c r="E563" s="26" t="s">
        <v>36</v>
      </c>
      <c r="F563" s="27" t="s">
        <v>37</v>
      </c>
      <c r="G563" s="21"/>
    </row>
    <row r="564" spans="1:7" ht="17.25" thickBot="1" x14ac:dyDescent="0.3">
      <c r="A564" s="46"/>
      <c r="B564" s="24" t="s">
        <v>38</v>
      </c>
      <c r="C564" s="25">
        <v>44245</v>
      </c>
      <c r="D564" s="46"/>
      <c r="E564" s="26" t="s">
        <v>39</v>
      </c>
      <c r="F564" s="27" t="s">
        <v>37</v>
      </c>
      <c r="G564" s="21"/>
    </row>
    <row r="565" spans="1:7" ht="17.25" thickBot="1" x14ac:dyDescent="0.3">
      <c r="A565" s="46"/>
      <c r="B565" s="24" t="s">
        <v>35</v>
      </c>
      <c r="C565" s="28">
        <f>IF(C564="","",IF(AND(MONTH(C564)&gt;=1,MONTH(C564)&lt;=3),1,IF(AND(MONTH(C564)&gt;=4,MONTH(C564)&lt;=6),2,IF(AND(MONTH(C564)&gt;=7,MONTH(C564)&lt;=9),3,4))))</f>
        <v>1</v>
      </c>
      <c r="D565" s="46"/>
      <c r="E565" s="26" t="s">
        <v>40</v>
      </c>
      <c r="F565" s="27"/>
      <c r="G565" s="21"/>
    </row>
    <row r="566" spans="1:7" ht="17.25" thickBot="1" x14ac:dyDescent="0.3">
      <c r="A566" s="21"/>
      <c r="B566" s="21"/>
      <c r="C566" s="21"/>
      <c r="D566" s="21"/>
      <c r="E566" s="21"/>
      <c r="F566" s="21"/>
      <c r="G566" s="21"/>
    </row>
    <row r="567" spans="1:7" ht="17.25" thickBot="1" x14ac:dyDescent="0.3">
      <c r="A567" s="29" t="s">
        <v>41</v>
      </c>
      <c r="B567" s="29" t="s">
        <v>42</v>
      </c>
      <c r="C567" s="29" t="s">
        <v>43</v>
      </c>
      <c r="D567" s="29" t="s">
        <v>44</v>
      </c>
      <c r="E567" s="29" t="s">
        <v>45</v>
      </c>
      <c r="F567" s="29" t="s">
        <v>46</v>
      </c>
      <c r="G567" s="21"/>
    </row>
    <row r="568" spans="1:7" ht="16.5" x14ac:dyDescent="0.25">
      <c r="A568" s="30" t="s">
        <v>205</v>
      </c>
      <c r="B568" s="31" t="str">
        <f ca="1">IFERROR(INDEX(UNSPSCDes,MATCH(INDIRECT(ADDRESS(ROW(),COLUMN()-1,4)),UNSPSCCode,0)),IF(INDIRECT(ADDRESS(ROW(),COLUMN()-1,4))="50201714","Cremas no lácteas",""))</f>
        <v>Cremas no lácteas</v>
      </c>
      <c r="C568" s="32" t="str">
        <f>IFERROR(VLOOKUP("UD",'[1]Informacion '!P:Q,2,FALSE),"")</f>
        <v>Unidad</v>
      </c>
      <c r="D568" s="30">
        <v>24</v>
      </c>
      <c r="E568" s="33">
        <v>335</v>
      </c>
      <c r="F568" s="34">
        <f ca="1">INDIRECT(ADDRESS(ROW(),COLUMN()-2,4))*INDIRECT(ADDRESS(ROW(),COLUMN()-1,4))</f>
        <v>8040</v>
      </c>
      <c r="G568" s="21"/>
    </row>
    <row r="569" spans="1:7" ht="33.75" x14ac:dyDescent="0.25">
      <c r="A569" s="30" t="s">
        <v>206</v>
      </c>
      <c r="B569" s="31" t="str">
        <f ca="1">IFERROR(INDEX(UNSPSCDes,MATCH(INDIRECT(ADDRESS(ROW(),COLUMN()-1,4)),UNSPSCCode,0)),IF(INDIRECT(ADDRESS(ROW(),COLUMN()-1,4))="50161509","Azucares naturales o productos endulzantes",""))</f>
        <v>Azucares naturales o productos endulzantes</v>
      </c>
      <c r="C569" s="32" t="str">
        <f>IFERROR(VLOOKUP("UD",'[1]Informacion '!P:Q,2,FALSE),"")</f>
        <v>Unidad</v>
      </c>
      <c r="D569" s="30">
        <v>234</v>
      </c>
      <c r="E569" s="33">
        <v>130</v>
      </c>
      <c r="F569" s="34">
        <f ca="1">INDIRECT(ADDRESS(ROW(),COLUMN()-2,4))*INDIRECT(ADDRESS(ROW(),COLUMN()-1,4))</f>
        <v>30420</v>
      </c>
      <c r="G569" s="21"/>
    </row>
    <row r="570" spans="1:7" ht="16.5" x14ac:dyDescent="0.25">
      <c r="A570" s="30" t="s">
        <v>207</v>
      </c>
      <c r="B570" s="31" t="str">
        <f ca="1">IFERROR(INDEX(UNSPSCDes,MATCH(INDIRECT(ADDRESS(ROW(),COLUMN()-1,4)),UNSPSCCode,0)),IF(INDIRECT(ADDRESS(ROW(),COLUMN()-1,4))="50201706","Café",""))</f>
        <v>Café</v>
      </c>
      <c r="C570" s="32" t="str">
        <f>IFERROR(VLOOKUP("UD",'[1]Informacion '!P:Q,2,FALSE),"")</f>
        <v>Unidad</v>
      </c>
      <c r="D570" s="30">
        <v>725</v>
      </c>
      <c r="E570" s="33">
        <v>220</v>
      </c>
      <c r="F570" s="34">
        <f ca="1">INDIRECT(ADDRESS(ROW(),COLUMN()-2,4))*INDIRECT(ADDRESS(ROW(),COLUMN()-1,4))</f>
        <v>159500</v>
      </c>
      <c r="G570" s="21"/>
    </row>
    <row r="571" spans="1:7" ht="16.5" x14ac:dyDescent="0.25">
      <c r="A571" s="30" t="s">
        <v>208</v>
      </c>
      <c r="B571" s="31" t="str">
        <f ca="1">IFERROR(INDEX(UNSPSCDes,MATCH(INDIRECT(ADDRESS(ROW(),COLUMN()-1,4)),UNSPSCCode,0)),IF(INDIRECT(ADDRESS(ROW(),COLUMN()-1,4))="50201713","Bolsas de té",""))</f>
        <v>Bolsas de té</v>
      </c>
      <c r="C571" s="32" t="str">
        <f>IFERROR(VLOOKUP("UD",'[1]Informacion '!P:Q,2,FALSE),"")</f>
        <v>Unidad</v>
      </c>
      <c r="D571" s="30">
        <v>10</v>
      </c>
      <c r="E571" s="33">
        <v>650</v>
      </c>
      <c r="F571" s="34">
        <f ca="1">INDIRECT(ADDRESS(ROW(),COLUMN()-2,4))*INDIRECT(ADDRESS(ROW(),COLUMN()-1,4))</f>
        <v>6500</v>
      </c>
      <c r="G571" s="21"/>
    </row>
    <row r="572" spans="1:7" ht="16.5" x14ac:dyDescent="0.25">
      <c r="A572" s="21"/>
      <c r="B572" s="21"/>
      <c r="C572" s="21"/>
      <c r="D572" s="21"/>
      <c r="E572" s="35" t="s">
        <v>56</v>
      </c>
      <c r="F572" s="36">
        <f ca="1">SUM(Table38[MONTO TOTAL ESTIMADO])</f>
        <v>204460</v>
      </c>
      <c r="G572" s="21"/>
    </row>
    <row r="573" spans="1:7" ht="17.25" thickBot="1" x14ac:dyDescent="0.3">
      <c r="A573" s="21"/>
      <c r="B573" s="21"/>
      <c r="C573" s="21"/>
      <c r="D573" s="21"/>
      <c r="E573" s="21"/>
      <c r="F573" s="21"/>
      <c r="G573" s="21"/>
    </row>
    <row r="574" spans="1:7" ht="23.25" thickBot="1" x14ac:dyDescent="0.3">
      <c r="A574" s="22" t="s">
        <v>19</v>
      </c>
      <c r="B574" s="22" t="s">
        <v>20</v>
      </c>
      <c r="C574" s="22" t="s">
        <v>21</v>
      </c>
      <c r="D574" s="22" t="s">
        <v>22</v>
      </c>
      <c r="E574" s="22" t="s">
        <v>23</v>
      </c>
      <c r="F574" s="22" t="s">
        <v>24</v>
      </c>
      <c r="G574" s="21"/>
    </row>
    <row r="575" spans="1:7" ht="17.25" thickBot="1" x14ac:dyDescent="0.3">
      <c r="A575" s="23" t="s">
        <v>203</v>
      </c>
      <c r="B575" s="23" t="s">
        <v>204</v>
      </c>
      <c r="C575" s="23" t="s">
        <v>27</v>
      </c>
      <c r="D575" s="23" t="s">
        <v>58</v>
      </c>
      <c r="E575" s="23" t="s">
        <v>129</v>
      </c>
      <c r="F575" s="23"/>
      <c r="G575" s="21"/>
    </row>
    <row r="576" spans="1:7" ht="17.25" thickBot="1" x14ac:dyDescent="0.3">
      <c r="A576" s="45" t="s">
        <v>30</v>
      </c>
      <c r="B576" s="24" t="s">
        <v>31</v>
      </c>
      <c r="C576" s="25">
        <v>44396</v>
      </c>
      <c r="D576" s="45" t="s">
        <v>32</v>
      </c>
      <c r="E576" s="26" t="s">
        <v>33</v>
      </c>
      <c r="F576" s="27" t="s">
        <v>34</v>
      </c>
      <c r="G576" s="21"/>
    </row>
    <row r="577" spans="1:7" ht="17.25" thickBot="1" x14ac:dyDescent="0.3">
      <c r="A577" s="46"/>
      <c r="B577" s="24" t="s">
        <v>35</v>
      </c>
      <c r="C577" s="28">
        <f>IF(C576="","",IF(AND(MONTH(C576)&gt;=1,MONTH(C576)&lt;=3),1,IF(AND(MONTH(C576)&gt;=4,MONTH(C576)&lt;=6),2,IF(AND(MONTH(C576)&gt;=7,MONTH(C576)&lt;=9),3,4))))</f>
        <v>3</v>
      </c>
      <c r="D577" s="46"/>
      <c r="E577" s="26" t="s">
        <v>36</v>
      </c>
      <c r="F577" s="27" t="s">
        <v>37</v>
      </c>
      <c r="G577" s="21"/>
    </row>
    <row r="578" spans="1:7" ht="17.25" thickBot="1" x14ac:dyDescent="0.3">
      <c r="A578" s="46"/>
      <c r="B578" s="24" t="s">
        <v>38</v>
      </c>
      <c r="C578" s="25">
        <v>44405</v>
      </c>
      <c r="D578" s="46"/>
      <c r="E578" s="26" t="s">
        <v>39</v>
      </c>
      <c r="F578" s="27" t="s">
        <v>37</v>
      </c>
      <c r="G578" s="21"/>
    </row>
    <row r="579" spans="1:7" ht="17.25" thickBot="1" x14ac:dyDescent="0.3">
      <c r="A579" s="46"/>
      <c r="B579" s="24" t="s">
        <v>35</v>
      </c>
      <c r="C579" s="28">
        <f>IF(C578="","",IF(AND(MONTH(C578)&gt;=1,MONTH(C578)&lt;=3),1,IF(AND(MONTH(C578)&gt;=4,MONTH(C578)&lt;=6),2,IF(AND(MONTH(C578)&gt;=7,MONTH(C578)&lt;=9),3,4))))</f>
        <v>3</v>
      </c>
      <c r="D579" s="46"/>
      <c r="E579" s="26" t="s">
        <v>40</v>
      </c>
      <c r="F579" s="27"/>
      <c r="G579" s="21"/>
    </row>
    <row r="580" spans="1:7" ht="17.25" thickBot="1" x14ac:dyDescent="0.3">
      <c r="A580" s="21"/>
      <c r="B580" s="21"/>
      <c r="C580" s="21"/>
      <c r="D580" s="21"/>
      <c r="E580" s="21"/>
      <c r="F580" s="21"/>
      <c r="G580" s="21"/>
    </row>
    <row r="581" spans="1:7" ht="17.25" thickBot="1" x14ac:dyDescent="0.3">
      <c r="A581" s="29" t="s">
        <v>41</v>
      </c>
      <c r="B581" s="29" t="s">
        <v>42</v>
      </c>
      <c r="C581" s="29" t="s">
        <v>43</v>
      </c>
      <c r="D581" s="29" t="s">
        <v>44</v>
      </c>
      <c r="E581" s="29" t="s">
        <v>45</v>
      </c>
      <c r="F581" s="29" t="s">
        <v>46</v>
      </c>
      <c r="G581" s="21"/>
    </row>
    <row r="582" spans="1:7" ht="16.5" x14ac:dyDescent="0.25">
      <c r="A582" s="30" t="s">
        <v>205</v>
      </c>
      <c r="B582" s="31" t="str">
        <f ca="1">IFERROR(INDEX(UNSPSCDes,MATCH(INDIRECT(ADDRESS(ROW(),COLUMN()-1,4)),UNSPSCCode,0)),IF(INDIRECT(ADDRESS(ROW(),COLUMN()-1,4))="50201714","Cremas no lácteas",""))</f>
        <v>Cremas no lácteas</v>
      </c>
      <c r="C582" s="32" t="str">
        <f>IFERROR(VLOOKUP("PAQ",'[1]Informacion '!P:Q,2,FALSE),"")</f>
        <v>Paquete</v>
      </c>
      <c r="D582" s="30">
        <v>85</v>
      </c>
      <c r="E582" s="33">
        <v>350</v>
      </c>
      <c r="F582" s="34">
        <f ca="1">INDIRECT(ADDRESS(ROW(),COLUMN()-2,4))*INDIRECT(ADDRESS(ROW(),COLUMN()-1,4))</f>
        <v>29750</v>
      </c>
      <c r="G582" s="21"/>
    </row>
    <row r="583" spans="1:7" ht="33.75" x14ac:dyDescent="0.25">
      <c r="A583" s="30" t="s">
        <v>206</v>
      </c>
      <c r="B583" s="31" t="str">
        <f ca="1">IFERROR(INDEX(UNSPSCDes,MATCH(INDIRECT(ADDRESS(ROW(),COLUMN()-1,4)),UNSPSCCode,0)),IF(INDIRECT(ADDRESS(ROW(),COLUMN()-1,4))="50161509","Azucares naturales o productos endulzantes",""))</f>
        <v>Azucares naturales o productos endulzantes</v>
      </c>
      <c r="C583" s="32" t="str">
        <f>IFERROR(VLOOKUP("PAQ",'[1]Informacion '!P:Q,2,FALSE),"")</f>
        <v>Paquete</v>
      </c>
      <c r="D583" s="30">
        <v>400</v>
      </c>
      <c r="E583" s="33">
        <v>120</v>
      </c>
      <c r="F583" s="34">
        <f ca="1">INDIRECT(ADDRESS(ROW(),COLUMN()-2,4))*INDIRECT(ADDRESS(ROW(),COLUMN()-1,4))</f>
        <v>48000</v>
      </c>
      <c r="G583" s="21"/>
    </row>
    <row r="584" spans="1:7" ht="16.5" x14ac:dyDescent="0.25">
      <c r="A584" s="30" t="s">
        <v>207</v>
      </c>
      <c r="B584" s="31" t="str">
        <f ca="1">IFERROR(INDEX(UNSPSCDes,MATCH(INDIRECT(ADDRESS(ROW(),COLUMN()-1,4)),UNSPSCCode,0)),IF(INDIRECT(ADDRESS(ROW(),COLUMN()-1,4))="50201706","Café",""))</f>
        <v>Café</v>
      </c>
      <c r="C584" s="32" t="str">
        <f>IFERROR(VLOOKUP("PAQ",'[1]Informacion '!P:Q,2,FALSE),"")</f>
        <v>Paquete</v>
      </c>
      <c r="D584" s="30">
        <v>2600</v>
      </c>
      <c r="E584" s="33">
        <v>275</v>
      </c>
      <c r="F584" s="34">
        <f ca="1">INDIRECT(ADDRESS(ROW(),COLUMN()-2,4))*INDIRECT(ADDRESS(ROW(),COLUMN()-1,4))</f>
        <v>715000</v>
      </c>
      <c r="G584" s="21"/>
    </row>
    <row r="585" spans="1:7" ht="16.5" x14ac:dyDescent="0.25">
      <c r="A585" s="30" t="s">
        <v>208</v>
      </c>
      <c r="B585" s="31" t="str">
        <f ca="1">IFERROR(INDEX(UNSPSCDes,MATCH(INDIRECT(ADDRESS(ROW(),COLUMN()-1,4)),UNSPSCCode,0)),IF(INDIRECT(ADDRESS(ROW(),COLUMN()-1,4))="50201713","Bolsas de té",""))</f>
        <v>Bolsas de té</v>
      </c>
      <c r="C585" s="32" t="str">
        <f>IFERROR(VLOOKUP("UD",'[1]Informacion '!P:Q,2,FALSE),"")</f>
        <v>Unidad</v>
      </c>
      <c r="D585" s="30">
        <v>50</v>
      </c>
      <c r="E585" s="33">
        <v>650</v>
      </c>
      <c r="F585" s="34">
        <f ca="1">INDIRECT(ADDRESS(ROW(),COLUMN()-2,4))*INDIRECT(ADDRESS(ROW(),COLUMN()-1,4))</f>
        <v>32500</v>
      </c>
      <c r="G585" s="21"/>
    </row>
    <row r="586" spans="1:7" ht="16.5" x14ac:dyDescent="0.25">
      <c r="A586" s="21"/>
      <c r="B586" s="21"/>
      <c r="C586" s="21"/>
      <c r="D586" s="21"/>
      <c r="E586" s="35" t="s">
        <v>56</v>
      </c>
      <c r="F586" s="36">
        <f ca="1">SUM(Table39[MONTO TOTAL ESTIMADO])</f>
        <v>825250</v>
      </c>
      <c r="G586" s="21"/>
    </row>
    <row r="587" spans="1:7" ht="17.25" thickBot="1" x14ac:dyDescent="0.3">
      <c r="A587" s="21"/>
      <c r="B587" s="21"/>
      <c r="C587" s="21"/>
      <c r="D587" s="21"/>
      <c r="E587" s="21"/>
      <c r="F587" s="21"/>
      <c r="G587" s="21"/>
    </row>
    <row r="588" spans="1:7" ht="23.25" thickBot="1" x14ac:dyDescent="0.3">
      <c r="A588" s="22" t="s">
        <v>19</v>
      </c>
      <c r="B588" s="22" t="s">
        <v>20</v>
      </c>
      <c r="C588" s="22" t="s">
        <v>21</v>
      </c>
      <c r="D588" s="22" t="s">
        <v>22</v>
      </c>
      <c r="E588" s="22" t="s">
        <v>23</v>
      </c>
      <c r="F588" s="22" t="s">
        <v>24</v>
      </c>
      <c r="G588" s="21"/>
    </row>
    <row r="589" spans="1:7" ht="17.25" thickBot="1" x14ac:dyDescent="0.3">
      <c r="A589" s="23" t="s">
        <v>209</v>
      </c>
      <c r="B589" s="23" t="s">
        <v>209</v>
      </c>
      <c r="C589" s="23" t="s">
        <v>27</v>
      </c>
      <c r="D589" s="23" t="s">
        <v>68</v>
      </c>
      <c r="E589" s="23" t="s">
        <v>29</v>
      </c>
      <c r="F589" s="23"/>
      <c r="G589" s="21"/>
    </row>
    <row r="590" spans="1:7" ht="17.25" thickBot="1" x14ac:dyDescent="0.3">
      <c r="A590" s="45" t="s">
        <v>30</v>
      </c>
      <c r="B590" s="24" t="s">
        <v>31</v>
      </c>
      <c r="C590" s="25">
        <v>44508</v>
      </c>
      <c r="D590" s="45" t="s">
        <v>32</v>
      </c>
      <c r="E590" s="26" t="s">
        <v>33</v>
      </c>
      <c r="F590" s="27" t="s">
        <v>34</v>
      </c>
      <c r="G590" s="21"/>
    </row>
    <row r="591" spans="1:7" ht="17.25" thickBot="1" x14ac:dyDescent="0.3">
      <c r="A591" s="46"/>
      <c r="B591" s="24" t="s">
        <v>35</v>
      </c>
      <c r="C591" s="28">
        <f>IF(C590="","",IF(AND(MONTH(C590)&gt;=1,MONTH(C590)&lt;=3),1,IF(AND(MONTH(C590)&gt;=4,MONTH(C590)&lt;=6),2,IF(AND(MONTH(C590)&gt;=7,MONTH(C590)&lt;=9),3,4))))</f>
        <v>4</v>
      </c>
      <c r="D591" s="46"/>
      <c r="E591" s="26" t="s">
        <v>36</v>
      </c>
      <c r="F591" s="27" t="s">
        <v>37</v>
      </c>
      <c r="G591" s="21"/>
    </row>
    <row r="592" spans="1:7" ht="17.25" thickBot="1" x14ac:dyDescent="0.3">
      <c r="A592" s="46"/>
      <c r="B592" s="24" t="s">
        <v>38</v>
      </c>
      <c r="C592" s="25">
        <v>44517</v>
      </c>
      <c r="D592" s="46"/>
      <c r="E592" s="26" t="s">
        <v>39</v>
      </c>
      <c r="F592" s="27" t="s">
        <v>37</v>
      </c>
      <c r="G592" s="21"/>
    </row>
    <row r="593" spans="1:7" ht="17.25" thickBot="1" x14ac:dyDescent="0.3">
      <c r="A593" s="46"/>
      <c r="B593" s="24" t="s">
        <v>35</v>
      </c>
      <c r="C593" s="28">
        <f>IF(C592="","",IF(AND(MONTH(C592)&gt;=1,MONTH(C592)&lt;=3),1,IF(AND(MONTH(C592)&gt;=4,MONTH(C592)&lt;=6),2,IF(AND(MONTH(C592)&gt;=7,MONTH(C592)&lt;=9),3,4))))</f>
        <v>4</v>
      </c>
      <c r="D593" s="46"/>
      <c r="E593" s="26" t="s">
        <v>40</v>
      </c>
      <c r="F593" s="27"/>
      <c r="G593" s="21"/>
    </row>
    <row r="594" spans="1:7" ht="17.25" thickBot="1" x14ac:dyDescent="0.3">
      <c r="A594" s="21"/>
      <c r="B594" s="21"/>
      <c r="C594" s="21"/>
      <c r="D594" s="21"/>
      <c r="E594" s="21"/>
      <c r="F594" s="21"/>
      <c r="G594" s="21"/>
    </row>
    <row r="595" spans="1:7" ht="17.25" thickBot="1" x14ac:dyDescent="0.3">
      <c r="A595" s="29" t="s">
        <v>41</v>
      </c>
      <c r="B595" s="29" t="s">
        <v>42</v>
      </c>
      <c r="C595" s="29" t="s">
        <v>43</v>
      </c>
      <c r="D595" s="29" t="s">
        <v>44</v>
      </c>
      <c r="E595" s="29" t="s">
        <v>45</v>
      </c>
      <c r="F595" s="29" t="s">
        <v>46</v>
      </c>
      <c r="G595" s="21"/>
    </row>
    <row r="596" spans="1:7" ht="16.5" x14ac:dyDescent="0.25">
      <c r="A596" s="30" t="s">
        <v>210</v>
      </c>
      <c r="B596" s="31" t="str">
        <f ca="1">IFERROR(INDEX(UNSPSCDes,MATCH(INDIRECT(ADDRESS(ROW(),COLUMN()-1,4)),UNSPSCCode,0)),IF(INDIRECT(ADDRESS(ROW(),COLUMN()-1,4))="49101702","Trofeos",""))</f>
        <v>Trofeos</v>
      </c>
      <c r="C596" s="32" t="str">
        <f>IFERROR(VLOOKUP("UD",'[1]Informacion '!P:Q,2,FALSE),"")</f>
        <v>Unidad</v>
      </c>
      <c r="D596" s="30">
        <v>28</v>
      </c>
      <c r="E596" s="33">
        <v>2800</v>
      </c>
      <c r="F596" s="34">
        <f t="shared" ref="F596:F601" ca="1" si="12">INDIRECT(ADDRESS(ROW(),COLUMN()-2,4))*INDIRECT(ADDRESS(ROW(),COLUMN()-1,4))</f>
        <v>78400</v>
      </c>
      <c r="G596" s="21"/>
    </row>
    <row r="597" spans="1:7" ht="16.5" x14ac:dyDescent="0.25">
      <c r="A597" s="30" t="s">
        <v>210</v>
      </c>
      <c r="B597" s="31" t="str">
        <f ca="1">IFERROR(INDEX(UNSPSCDes,MATCH(INDIRECT(ADDRESS(ROW(),COLUMN()-1,4)),UNSPSCCode,0)),IF(INDIRECT(ADDRESS(ROW(),COLUMN()-1,4))="49101702","Trofeos",""))</f>
        <v>Trofeos</v>
      </c>
      <c r="C597" s="32" t="str">
        <f>IFERROR(VLOOKUP("UD",'[1]Informacion '!P:Q,2,FALSE),"")</f>
        <v>Unidad</v>
      </c>
      <c r="D597" s="30">
        <v>2</v>
      </c>
      <c r="E597" s="33">
        <v>3400</v>
      </c>
      <c r="F597" s="34">
        <f t="shared" ca="1" si="12"/>
        <v>6800</v>
      </c>
      <c r="G597" s="21"/>
    </row>
    <row r="598" spans="1:7" ht="16.5" x14ac:dyDescent="0.25">
      <c r="A598" s="30" t="s">
        <v>211</v>
      </c>
      <c r="B598" s="31" t="str">
        <f ca="1">IFERROR(INDEX(UNSPSCDes,MATCH(INDIRECT(ADDRESS(ROW(),COLUMN()-1,4)),UNSPSCCode,0)),IF(INDIRECT(ADDRESS(ROW(),COLUMN()-1,4))="49101704","Placas",""))</f>
        <v>Placas</v>
      </c>
      <c r="C598" s="32" t="str">
        <f>IFERROR(VLOOKUP("UD",'[1]Informacion '!P:Q,2,FALSE),"")</f>
        <v>Unidad</v>
      </c>
      <c r="D598" s="30">
        <v>1</v>
      </c>
      <c r="E598" s="33">
        <v>4700</v>
      </c>
      <c r="F598" s="34">
        <f t="shared" ca="1" si="12"/>
        <v>4700</v>
      </c>
      <c r="G598" s="21"/>
    </row>
    <row r="599" spans="1:7" ht="16.5" x14ac:dyDescent="0.25">
      <c r="A599" s="30" t="s">
        <v>211</v>
      </c>
      <c r="B599" s="31" t="str">
        <f ca="1">IFERROR(INDEX(UNSPSCDes,MATCH(INDIRECT(ADDRESS(ROW(),COLUMN()-1,4)),UNSPSCCode,0)),IF(INDIRECT(ADDRESS(ROW(),COLUMN()-1,4))="49101704","Placas",""))</f>
        <v>Placas</v>
      </c>
      <c r="C599" s="32" t="str">
        <f>IFERROR(VLOOKUP("UD",'[1]Informacion '!P:Q,2,FALSE),"")</f>
        <v>Unidad</v>
      </c>
      <c r="D599" s="30">
        <v>1</v>
      </c>
      <c r="E599" s="33">
        <v>4900</v>
      </c>
      <c r="F599" s="34">
        <f t="shared" ca="1" si="12"/>
        <v>4900</v>
      </c>
      <c r="G599" s="21"/>
    </row>
    <row r="600" spans="1:7" ht="33.75" x14ac:dyDescent="0.25">
      <c r="A600" s="30" t="s">
        <v>212</v>
      </c>
      <c r="B600" s="31" t="str">
        <f ca="1">IFERROR(INDEX(UNSPSCDes,MATCH(INDIRECT(ADDRESS(ROW(),COLUMN()-1,4)),UNSPSCCode,0)),IF(INDIRECT(ADDRESS(ROW(),COLUMN()-1,4))="55101517","Dibujos dimensionales o de tolerancia",""))</f>
        <v>Dibujos dimensionales o de tolerancia</v>
      </c>
      <c r="C600" s="32" t="str">
        <f>IFERROR(VLOOKUP("UD",'[1]Informacion '!P:Q,2,FALSE),"")</f>
        <v>Unidad</v>
      </c>
      <c r="D600" s="30">
        <v>28</v>
      </c>
      <c r="E600" s="33">
        <v>120</v>
      </c>
      <c r="F600" s="34">
        <f t="shared" ca="1" si="12"/>
        <v>3360</v>
      </c>
      <c r="G600" s="21"/>
    </row>
    <row r="601" spans="1:7" ht="33.75" x14ac:dyDescent="0.25">
      <c r="A601" s="30" t="s">
        <v>213</v>
      </c>
      <c r="B601" s="31" t="str">
        <f ca="1">IFERROR(INDEX(UNSPSCDes,MATCH(INDIRECT(ADDRESS(ROW(),COLUMN()-1,4)),UNSPSCCode,0)),IF(INDIRECT(ADDRESS(ROW(),COLUMN()-1,4))="55101515","Material promocional o reportes anuales",""))</f>
        <v>Material promocional o reportes anuales</v>
      </c>
      <c r="C601" s="32" t="str">
        <f>IFERROR(VLOOKUP("UD",'[1]Informacion '!P:Q,2,FALSE),"")</f>
        <v>Unidad</v>
      </c>
      <c r="D601" s="30">
        <v>30</v>
      </c>
      <c r="E601" s="33">
        <v>1300</v>
      </c>
      <c r="F601" s="34">
        <f t="shared" ca="1" si="12"/>
        <v>39000</v>
      </c>
      <c r="G601" s="21"/>
    </row>
    <row r="602" spans="1:7" ht="16.5" x14ac:dyDescent="0.25">
      <c r="A602" s="21"/>
      <c r="B602" s="21"/>
      <c r="C602" s="21"/>
      <c r="D602" s="21"/>
      <c r="E602" s="35" t="s">
        <v>56</v>
      </c>
      <c r="F602" s="36">
        <f ca="1">SUM(Table40[MONTO TOTAL ESTIMADO])</f>
        <v>137160</v>
      </c>
      <c r="G602" s="21"/>
    </row>
    <row r="603" spans="1:7" ht="17.25" thickBot="1" x14ac:dyDescent="0.3">
      <c r="A603" s="21"/>
      <c r="B603" s="21"/>
      <c r="C603" s="21"/>
      <c r="D603" s="21"/>
      <c r="E603" s="21"/>
      <c r="F603" s="21"/>
      <c r="G603" s="21"/>
    </row>
    <row r="604" spans="1:7" ht="23.25" thickBot="1" x14ac:dyDescent="0.3">
      <c r="A604" s="22" t="s">
        <v>19</v>
      </c>
      <c r="B604" s="22" t="s">
        <v>20</v>
      </c>
      <c r="C604" s="22" t="s">
        <v>21</v>
      </c>
      <c r="D604" s="22" t="s">
        <v>22</v>
      </c>
      <c r="E604" s="22" t="s">
        <v>23</v>
      </c>
      <c r="F604" s="22" t="s">
        <v>24</v>
      </c>
      <c r="G604" s="21"/>
    </row>
    <row r="605" spans="1:7" ht="17.25" thickBot="1" x14ac:dyDescent="0.3">
      <c r="A605" s="23" t="s">
        <v>214</v>
      </c>
      <c r="B605" s="23" t="s">
        <v>215</v>
      </c>
      <c r="C605" s="23" t="s">
        <v>27</v>
      </c>
      <c r="D605" s="23" t="s">
        <v>58</v>
      </c>
      <c r="E605" s="23" t="s">
        <v>129</v>
      </c>
      <c r="F605" s="23"/>
      <c r="G605" s="21"/>
    </row>
    <row r="606" spans="1:7" ht="17.25" thickBot="1" x14ac:dyDescent="0.3">
      <c r="A606" s="45" t="s">
        <v>30</v>
      </c>
      <c r="B606" s="24" t="s">
        <v>31</v>
      </c>
      <c r="C606" s="25">
        <v>44354</v>
      </c>
      <c r="D606" s="45" t="s">
        <v>32</v>
      </c>
      <c r="E606" s="26" t="s">
        <v>33</v>
      </c>
      <c r="F606" s="27" t="s">
        <v>34</v>
      </c>
      <c r="G606" s="21"/>
    </row>
    <row r="607" spans="1:7" ht="17.25" thickBot="1" x14ac:dyDescent="0.3">
      <c r="A607" s="46"/>
      <c r="B607" s="24" t="s">
        <v>35</v>
      </c>
      <c r="C607" s="28">
        <f>IF(C606="","",IF(AND(MONTH(C606)&gt;=1,MONTH(C606)&lt;=3),1,IF(AND(MONTH(C606)&gt;=4,MONTH(C606)&lt;=6),2,IF(AND(MONTH(C606)&gt;=7,MONTH(C606)&lt;=9),3,4))))</f>
        <v>2</v>
      </c>
      <c r="D607" s="46"/>
      <c r="E607" s="26" t="s">
        <v>36</v>
      </c>
      <c r="F607" s="27" t="s">
        <v>37</v>
      </c>
      <c r="G607" s="21"/>
    </row>
    <row r="608" spans="1:7" ht="17.25" thickBot="1" x14ac:dyDescent="0.3">
      <c r="A608" s="46"/>
      <c r="B608" s="24" t="s">
        <v>38</v>
      </c>
      <c r="C608" s="25">
        <v>44546</v>
      </c>
      <c r="D608" s="46"/>
      <c r="E608" s="26" t="s">
        <v>39</v>
      </c>
      <c r="F608" s="27" t="s">
        <v>37</v>
      </c>
      <c r="G608" s="21"/>
    </row>
    <row r="609" spans="1:7" ht="17.25" thickBot="1" x14ac:dyDescent="0.3">
      <c r="A609" s="46"/>
      <c r="B609" s="24" t="s">
        <v>35</v>
      </c>
      <c r="C609" s="28">
        <f>IF(C608="","",IF(AND(MONTH(C608)&gt;=1,MONTH(C608)&lt;=3),1,IF(AND(MONTH(C608)&gt;=4,MONTH(C608)&lt;=6),2,IF(AND(MONTH(C608)&gt;=7,MONTH(C608)&lt;=9),3,4))))</f>
        <v>4</v>
      </c>
      <c r="D609" s="46"/>
      <c r="E609" s="26" t="s">
        <v>40</v>
      </c>
      <c r="F609" s="27"/>
      <c r="G609" s="21"/>
    </row>
    <row r="610" spans="1:7" ht="17.25" thickBot="1" x14ac:dyDescent="0.3">
      <c r="A610" s="21"/>
      <c r="B610" s="21"/>
      <c r="C610" s="21"/>
      <c r="D610" s="21"/>
      <c r="E610" s="21"/>
      <c r="F610" s="21"/>
      <c r="G610" s="21"/>
    </row>
    <row r="611" spans="1:7" ht="17.25" thickBot="1" x14ac:dyDescent="0.3">
      <c r="A611" s="29" t="s">
        <v>41</v>
      </c>
      <c r="B611" s="29" t="s">
        <v>42</v>
      </c>
      <c r="C611" s="29" t="s">
        <v>43</v>
      </c>
      <c r="D611" s="29" t="s">
        <v>44</v>
      </c>
      <c r="E611" s="29" t="s">
        <v>45</v>
      </c>
      <c r="F611" s="29" t="s">
        <v>46</v>
      </c>
      <c r="G611" s="21"/>
    </row>
    <row r="612" spans="1:7" ht="45" x14ac:dyDescent="0.25">
      <c r="A612" s="30" t="s">
        <v>216</v>
      </c>
      <c r="B612" s="31" t="str">
        <f ca="1">IFERROR(INDEX(UNSPSCDes,MATCH(INDIRECT(ADDRESS(ROW(),COLUMN()-1,4)),UNSPSCCode,0)),IF(INDIRECT(ADDRESS(ROW(),COLUMN()-1,4))="42131606","Máscaras quirúrgicas o de aislamiento para personal médico",""))</f>
        <v>Máscaras quirúrgicas o de aislamiento para personal médico</v>
      </c>
      <c r="C612" s="32" t="str">
        <f>IFERROR(VLOOKUP("CAJ",'[1]Informacion '!P:Q,2,FALSE),"")</f>
        <v>Caja</v>
      </c>
      <c r="D612" s="30">
        <v>700</v>
      </c>
      <c r="E612" s="33">
        <v>350</v>
      </c>
      <c r="F612" s="34">
        <f ca="1">INDIRECT(ADDRESS(ROW(),COLUMN()-2,4))*INDIRECT(ADDRESS(ROW(),COLUMN()-1,4))</f>
        <v>245000</v>
      </c>
      <c r="G612" s="21"/>
    </row>
    <row r="613" spans="1:7" ht="16.5" x14ac:dyDescent="0.25">
      <c r="A613" s="30" t="s">
        <v>217</v>
      </c>
      <c r="B613" s="31" t="str">
        <f ca="1">IFERROR(INDEX(UNSPSCDes,MATCH(INDIRECT(ADDRESS(ROW(),COLUMN()-1,4)),UNSPSCCode,0)),IF(INDIRECT(ADDRESS(ROW(),COLUMN()-1,4))="46181702","Escudos faciales",""))</f>
        <v>Escudos faciales</v>
      </c>
      <c r="C613" s="32" t="str">
        <f>IFERROR(VLOOKUP("UD",'[1]Informacion '!P:Q,2,FALSE),"")</f>
        <v>Unidad</v>
      </c>
      <c r="D613" s="30">
        <v>50</v>
      </c>
      <c r="E613" s="33">
        <v>180</v>
      </c>
      <c r="F613" s="34">
        <f ca="1">INDIRECT(ADDRESS(ROW(),COLUMN()-2,4))*INDIRECT(ADDRESS(ROW(),COLUMN()-1,4))</f>
        <v>9000</v>
      </c>
      <c r="G613" s="21"/>
    </row>
    <row r="614" spans="1:7" ht="22.5" x14ac:dyDescent="0.25">
      <c r="A614" s="30" t="s">
        <v>218</v>
      </c>
      <c r="B614" s="31" t="str">
        <f ca="1">IFERROR(INDEX(UNSPSCDes,MATCH(INDIRECT(ADDRESS(ROW(),COLUMN()-1,4)),UNSPSCCode,0)),IF(INDIRECT(ADDRESS(ROW(),COLUMN()-1,4))="12352104","Alcoholes o sus sustitutos",""))</f>
        <v>Alcoholes o sus sustitutos</v>
      </c>
      <c r="C614" s="32" t="str">
        <f>IFERROR(VLOOKUP("GAL",'[1]Informacion '!P:Q,2,FALSE),"")</f>
        <v>Galón</v>
      </c>
      <c r="D614" s="30">
        <v>100</v>
      </c>
      <c r="E614" s="33">
        <v>1400</v>
      </c>
      <c r="F614" s="34">
        <f ca="1">INDIRECT(ADDRESS(ROW(),COLUMN()-2,4))*INDIRECT(ADDRESS(ROW(),COLUMN()-1,4))</f>
        <v>140000</v>
      </c>
      <c r="G614" s="21"/>
    </row>
    <row r="615" spans="1:7" ht="16.5" x14ac:dyDescent="0.25">
      <c r="A615" s="21"/>
      <c r="B615" s="21"/>
      <c r="C615" s="21"/>
      <c r="D615" s="21"/>
      <c r="E615" s="35" t="s">
        <v>56</v>
      </c>
      <c r="F615" s="36">
        <f ca="1">SUM(Table41[MONTO TOTAL ESTIMADO])</f>
        <v>394000</v>
      </c>
      <c r="G615" s="21"/>
    </row>
    <row r="616" spans="1:7" ht="17.25" thickBot="1" x14ac:dyDescent="0.3">
      <c r="A616" s="21"/>
      <c r="B616" s="21"/>
      <c r="C616" s="21"/>
      <c r="D616" s="21"/>
      <c r="E616" s="21"/>
      <c r="F616" s="21"/>
      <c r="G616" s="21"/>
    </row>
    <row r="617" spans="1:7" ht="23.25" thickBot="1" x14ac:dyDescent="0.3">
      <c r="A617" s="22" t="s">
        <v>19</v>
      </c>
      <c r="B617" s="22" t="s">
        <v>20</v>
      </c>
      <c r="C617" s="22" t="s">
        <v>21</v>
      </c>
      <c r="D617" s="22" t="s">
        <v>22</v>
      </c>
      <c r="E617" s="22" t="s">
        <v>23</v>
      </c>
      <c r="F617" s="22" t="s">
        <v>24</v>
      </c>
      <c r="G617" s="21"/>
    </row>
    <row r="618" spans="1:7" ht="17.25" thickBot="1" x14ac:dyDescent="0.3">
      <c r="A618" s="23" t="s">
        <v>214</v>
      </c>
      <c r="B618" s="23" t="s">
        <v>219</v>
      </c>
      <c r="C618" s="23" t="s">
        <v>27</v>
      </c>
      <c r="D618" s="23" t="s">
        <v>58</v>
      </c>
      <c r="E618" s="23" t="s">
        <v>129</v>
      </c>
      <c r="F618" s="23"/>
      <c r="G618" s="21"/>
    </row>
    <row r="619" spans="1:7" ht="17.25" thickBot="1" x14ac:dyDescent="0.3">
      <c r="A619" s="45" t="s">
        <v>30</v>
      </c>
      <c r="B619" s="24" t="s">
        <v>31</v>
      </c>
      <c r="C619" s="25">
        <v>44480</v>
      </c>
      <c r="D619" s="45" t="s">
        <v>32</v>
      </c>
      <c r="E619" s="26" t="s">
        <v>33</v>
      </c>
      <c r="F619" s="27" t="s">
        <v>34</v>
      </c>
      <c r="G619" s="21"/>
    </row>
    <row r="620" spans="1:7" ht="17.25" thickBot="1" x14ac:dyDescent="0.3">
      <c r="A620" s="46"/>
      <c r="B620" s="24" t="s">
        <v>35</v>
      </c>
      <c r="C620" s="28">
        <f>IF(C619="","",IF(AND(MONTH(C619)&gt;=1,MONTH(C619)&lt;=3),1,IF(AND(MONTH(C619)&gt;=4,MONTH(C619)&lt;=6),2,IF(AND(MONTH(C619)&gt;=7,MONTH(C619)&lt;=9),3,4))))</f>
        <v>4</v>
      </c>
      <c r="D620" s="46"/>
      <c r="E620" s="26" t="s">
        <v>36</v>
      </c>
      <c r="F620" s="27" t="s">
        <v>37</v>
      </c>
      <c r="G620" s="21"/>
    </row>
    <row r="621" spans="1:7" ht="17.25" thickBot="1" x14ac:dyDescent="0.3">
      <c r="A621" s="46"/>
      <c r="B621" s="24" t="s">
        <v>38</v>
      </c>
      <c r="C621" s="25">
        <v>44489</v>
      </c>
      <c r="D621" s="46"/>
      <c r="E621" s="26" t="s">
        <v>39</v>
      </c>
      <c r="F621" s="27" t="s">
        <v>37</v>
      </c>
      <c r="G621" s="21"/>
    </row>
    <row r="622" spans="1:7" ht="17.25" thickBot="1" x14ac:dyDescent="0.3">
      <c r="A622" s="46"/>
      <c r="B622" s="24" t="s">
        <v>35</v>
      </c>
      <c r="C622" s="28">
        <f>IF(C621="","",IF(AND(MONTH(C621)&gt;=1,MONTH(C621)&lt;=3),1,IF(AND(MONTH(C621)&gt;=4,MONTH(C621)&lt;=6),2,IF(AND(MONTH(C621)&gt;=7,MONTH(C621)&lt;=9),3,4))))</f>
        <v>4</v>
      </c>
      <c r="D622" s="46"/>
      <c r="E622" s="26" t="s">
        <v>40</v>
      </c>
      <c r="F622" s="27"/>
      <c r="G622" s="21"/>
    </row>
    <row r="623" spans="1:7" ht="17.25" thickBot="1" x14ac:dyDescent="0.3">
      <c r="A623" s="21"/>
      <c r="B623" s="21"/>
      <c r="C623" s="21"/>
      <c r="D623" s="21"/>
      <c r="E623" s="21"/>
      <c r="F623" s="21"/>
      <c r="G623" s="21"/>
    </row>
    <row r="624" spans="1:7" ht="17.25" thickBot="1" x14ac:dyDescent="0.3">
      <c r="A624" s="29" t="s">
        <v>41</v>
      </c>
      <c r="B624" s="29" t="s">
        <v>42</v>
      </c>
      <c r="C624" s="29" t="s">
        <v>43</v>
      </c>
      <c r="D624" s="29" t="s">
        <v>44</v>
      </c>
      <c r="E624" s="29" t="s">
        <v>45</v>
      </c>
      <c r="F624" s="29" t="s">
        <v>46</v>
      </c>
      <c r="G624" s="21"/>
    </row>
    <row r="625" spans="1:7" ht="45" x14ac:dyDescent="0.25">
      <c r="A625" s="30" t="s">
        <v>216</v>
      </c>
      <c r="B625" s="31" t="str">
        <f ca="1">IFERROR(INDEX(UNSPSCDes,MATCH(INDIRECT(ADDRESS(ROW(),COLUMN()-1,4)),UNSPSCCode,0)),IF(INDIRECT(ADDRESS(ROW(),COLUMN()-1,4))="42131606","Máscaras quirúrgicas o de aislamiento para personal médico",""))</f>
        <v>Máscaras quirúrgicas o de aislamiento para personal médico</v>
      </c>
      <c r="C625" s="32" t="str">
        <f>IFERROR(VLOOKUP("CAJ",'[1]Informacion '!P:Q,2,FALSE),"")</f>
        <v>Caja</v>
      </c>
      <c r="D625" s="30">
        <v>700</v>
      </c>
      <c r="E625" s="33">
        <v>350</v>
      </c>
      <c r="F625" s="34">
        <f ca="1">INDIRECT(ADDRESS(ROW(),COLUMN()-2,4))*INDIRECT(ADDRESS(ROW(),COLUMN()-1,4))</f>
        <v>245000</v>
      </c>
      <c r="G625" s="21"/>
    </row>
    <row r="626" spans="1:7" ht="22.5" x14ac:dyDescent="0.25">
      <c r="A626" s="30" t="s">
        <v>218</v>
      </c>
      <c r="B626" s="31" t="str">
        <f ca="1">IFERROR(INDEX(UNSPSCDes,MATCH(INDIRECT(ADDRESS(ROW(),COLUMN()-1,4)),UNSPSCCode,0)),IF(INDIRECT(ADDRESS(ROW(),COLUMN()-1,4))="12352104","Alcoholes o sus sustitutos",""))</f>
        <v>Alcoholes o sus sustitutos</v>
      </c>
      <c r="C626" s="32" t="str">
        <f>IFERROR(VLOOKUP("GAL",'[1]Informacion '!P:Q,2,FALSE),"")</f>
        <v>Galón</v>
      </c>
      <c r="D626" s="30">
        <v>100</v>
      </c>
      <c r="E626" s="33">
        <v>1400</v>
      </c>
      <c r="F626" s="34">
        <f ca="1">INDIRECT(ADDRESS(ROW(),COLUMN()-2,4))*INDIRECT(ADDRESS(ROW(),COLUMN()-1,4))</f>
        <v>140000</v>
      </c>
      <c r="G626" s="21"/>
    </row>
    <row r="627" spans="1:7" ht="16.5" x14ac:dyDescent="0.25">
      <c r="A627" s="21"/>
      <c r="B627" s="21"/>
      <c r="C627" s="21"/>
      <c r="D627" s="21"/>
      <c r="E627" s="35" t="s">
        <v>56</v>
      </c>
      <c r="F627" s="36">
        <f ca="1">SUM(Table42[MONTO TOTAL ESTIMADO])</f>
        <v>385000</v>
      </c>
      <c r="G627" s="21"/>
    </row>
    <row r="628" spans="1:7" ht="17.25" thickBot="1" x14ac:dyDescent="0.3">
      <c r="A628" s="21"/>
      <c r="B628" s="21"/>
      <c r="C628" s="21"/>
      <c r="D628" s="21"/>
      <c r="E628" s="21"/>
      <c r="F628" s="21"/>
      <c r="G628" s="21"/>
    </row>
    <row r="629" spans="1:7" ht="23.25" thickBot="1" x14ac:dyDescent="0.3">
      <c r="A629" s="22" t="s">
        <v>19</v>
      </c>
      <c r="B629" s="22" t="s">
        <v>20</v>
      </c>
      <c r="C629" s="22" t="s">
        <v>21</v>
      </c>
      <c r="D629" s="22" t="s">
        <v>22</v>
      </c>
      <c r="E629" s="22" t="s">
        <v>23</v>
      </c>
      <c r="F629" s="22" t="s">
        <v>24</v>
      </c>
      <c r="G629" s="21"/>
    </row>
    <row r="630" spans="1:7" ht="17.25" thickBot="1" x14ac:dyDescent="0.3">
      <c r="A630" s="23" t="s">
        <v>220</v>
      </c>
      <c r="B630" s="23" t="s">
        <v>221</v>
      </c>
      <c r="C630" s="23" t="s">
        <v>27</v>
      </c>
      <c r="D630" s="23" t="s">
        <v>68</v>
      </c>
      <c r="E630" s="23" t="s">
        <v>29</v>
      </c>
      <c r="F630" s="23"/>
      <c r="G630" s="21"/>
    </row>
    <row r="631" spans="1:7" ht="17.25" thickBot="1" x14ac:dyDescent="0.3">
      <c r="A631" s="45" t="s">
        <v>30</v>
      </c>
      <c r="B631" s="24" t="s">
        <v>31</v>
      </c>
      <c r="C631" s="25">
        <v>44454</v>
      </c>
      <c r="D631" s="45" t="s">
        <v>32</v>
      </c>
      <c r="E631" s="26" t="s">
        <v>33</v>
      </c>
      <c r="F631" s="27" t="s">
        <v>34</v>
      </c>
      <c r="G631" s="21"/>
    </row>
    <row r="632" spans="1:7" ht="17.25" thickBot="1" x14ac:dyDescent="0.3">
      <c r="A632" s="46"/>
      <c r="B632" s="24" t="s">
        <v>35</v>
      </c>
      <c r="C632" s="28">
        <f>IF(C631="","",IF(AND(MONTH(C631)&gt;=1,MONTH(C631)&lt;=3),1,IF(AND(MONTH(C631)&gt;=4,MONTH(C631)&lt;=6),2,IF(AND(MONTH(C631)&gt;=7,MONTH(C631)&lt;=9),3,4))))</f>
        <v>3</v>
      </c>
      <c r="D632" s="46"/>
      <c r="E632" s="26" t="s">
        <v>36</v>
      </c>
      <c r="F632" s="27" t="s">
        <v>37</v>
      </c>
      <c r="G632" s="21"/>
    </row>
    <row r="633" spans="1:7" ht="17.25" thickBot="1" x14ac:dyDescent="0.3">
      <c r="A633" s="46"/>
      <c r="B633" s="24" t="s">
        <v>38</v>
      </c>
      <c r="C633" s="25">
        <v>44462</v>
      </c>
      <c r="D633" s="46"/>
      <c r="E633" s="26" t="s">
        <v>39</v>
      </c>
      <c r="F633" s="27" t="s">
        <v>37</v>
      </c>
      <c r="G633" s="21"/>
    </row>
    <row r="634" spans="1:7" ht="17.25" thickBot="1" x14ac:dyDescent="0.3">
      <c r="A634" s="46"/>
      <c r="B634" s="24" t="s">
        <v>35</v>
      </c>
      <c r="C634" s="28">
        <f>IF(C633="","",IF(AND(MONTH(C633)&gt;=1,MONTH(C633)&lt;=3),1,IF(AND(MONTH(C633)&gt;=4,MONTH(C633)&lt;=6),2,IF(AND(MONTH(C633)&gt;=7,MONTH(C633)&lt;=9),3,4))))</f>
        <v>3</v>
      </c>
      <c r="D634" s="46"/>
      <c r="E634" s="26" t="s">
        <v>40</v>
      </c>
      <c r="F634" s="27"/>
      <c r="G634" s="21"/>
    </row>
    <row r="635" spans="1:7" ht="17.25" thickBot="1" x14ac:dyDescent="0.3">
      <c r="A635" s="21"/>
      <c r="B635" s="21"/>
      <c r="C635" s="21"/>
      <c r="D635" s="21"/>
      <c r="E635" s="21"/>
      <c r="F635" s="21"/>
      <c r="G635" s="21"/>
    </row>
    <row r="636" spans="1:7" ht="17.25" thickBot="1" x14ac:dyDescent="0.3">
      <c r="A636" s="29" t="s">
        <v>41</v>
      </c>
      <c r="B636" s="29" t="s">
        <v>42</v>
      </c>
      <c r="C636" s="29" t="s">
        <v>43</v>
      </c>
      <c r="D636" s="29" t="s">
        <v>44</v>
      </c>
      <c r="E636" s="29" t="s">
        <v>45</v>
      </c>
      <c r="F636" s="29" t="s">
        <v>46</v>
      </c>
      <c r="G636" s="21"/>
    </row>
    <row r="637" spans="1:7" ht="22.5" x14ac:dyDescent="0.25">
      <c r="A637" s="30" t="s">
        <v>222</v>
      </c>
      <c r="B637" s="31" t="str">
        <f ca="1">IFERROR(INDEX(UNSPSCDes,MATCH(INDIRECT(ADDRESS(ROW(),COLUMN()-1,4)),UNSPSCCode,0)),IF(INDIRECT(ADDRESS(ROW(),COLUMN()-1,4))="13102030","Cloruro de polivinilo pvc",""))</f>
        <v>Cloruro de polivinilo pvc</v>
      </c>
      <c r="C637" s="32" t="str">
        <f>IFERROR(VLOOKUP("UD",'[1]Informacion '!P:Q,2,FALSE),"")</f>
        <v>Unidad</v>
      </c>
      <c r="D637" s="30">
        <v>263</v>
      </c>
      <c r="E637" s="33">
        <v>150</v>
      </c>
      <c r="F637" s="34">
        <f ca="1">INDIRECT(ADDRESS(ROW(),COLUMN()-2,4))*INDIRECT(ADDRESS(ROW(),COLUMN()-1,4))</f>
        <v>39450</v>
      </c>
      <c r="G637" s="21"/>
    </row>
    <row r="638" spans="1:7" ht="16.5" x14ac:dyDescent="0.25">
      <c r="A638" s="30" t="s">
        <v>223</v>
      </c>
      <c r="B638" s="31" t="str">
        <f ca="1">IFERROR(INDEX(UNSPSCDes,MATCH(INDIRECT(ADDRESS(ROW(),COLUMN()-1,4)),UNSPSCCode,0)),IF(INDIRECT(ADDRESS(ROW(),COLUMN()-1,4))="40142008","Mangueras de agua",""))</f>
        <v>Mangueras de agua</v>
      </c>
      <c r="C638" s="32" t="str">
        <f>IFERROR(VLOOKUP("UD",'[1]Informacion '!P:Q,2,FALSE),"")</f>
        <v>Unidad</v>
      </c>
      <c r="D638" s="30">
        <v>1</v>
      </c>
      <c r="E638" s="33">
        <v>2750</v>
      </c>
      <c r="F638" s="34">
        <f ca="1">INDIRECT(ADDRESS(ROW(),COLUMN()-2,4))*INDIRECT(ADDRESS(ROW(),COLUMN()-1,4))</f>
        <v>2750</v>
      </c>
      <c r="G638" s="21"/>
    </row>
    <row r="639" spans="1:7" ht="16.5" x14ac:dyDescent="0.25">
      <c r="A639" s="30" t="s">
        <v>224</v>
      </c>
      <c r="B639" s="31" t="str">
        <f ca="1">IFERROR(INDEX(UNSPSCDes,MATCH(INDIRECT(ADDRESS(ROW(),COLUMN()-1,4)),UNSPSCCode,0)),IF(INDIRECT(ADDRESS(ROW(),COLUMN()-1,4))="54111601","Relojes de pared",""))</f>
        <v>Relojes de pared</v>
      </c>
      <c r="C639" s="32" t="str">
        <f>IFERROR(VLOOKUP("UD",'[1]Informacion '!P:Q,2,FALSE),"")</f>
        <v>Unidad</v>
      </c>
      <c r="D639" s="30">
        <v>1</v>
      </c>
      <c r="E639" s="33">
        <v>2000</v>
      </c>
      <c r="F639" s="34">
        <f ca="1">INDIRECT(ADDRESS(ROW(),COLUMN()-2,4))*INDIRECT(ADDRESS(ROW(),COLUMN()-1,4))</f>
        <v>2000</v>
      </c>
      <c r="G639" s="21"/>
    </row>
    <row r="640" spans="1:7" ht="22.5" x14ac:dyDescent="0.25">
      <c r="A640" s="30" t="s">
        <v>225</v>
      </c>
      <c r="B640" s="31" t="str">
        <f ca="1">IFERROR(INDEX(UNSPSCDes,MATCH(INDIRECT(ADDRESS(ROW(),COLUMN()-1,4)),UNSPSCCode,0)),IF(INDIRECT(ADDRESS(ROW(),COLUMN()-1,4))="39111705","Barras fluorescentes o de iluminación",""))</f>
        <v>Barras fluorescentes o de iluminación</v>
      </c>
      <c r="C640" s="32" t="str">
        <f>IFERROR(VLOOKUP("UD",'[1]Informacion '!P:Q,2,FALSE),"")</f>
        <v>Unidad</v>
      </c>
      <c r="D640" s="30">
        <v>16</v>
      </c>
      <c r="E640" s="33">
        <v>1200</v>
      </c>
      <c r="F640" s="34">
        <f ca="1">INDIRECT(ADDRESS(ROW(),COLUMN()-2,4))*INDIRECT(ADDRESS(ROW(),COLUMN()-1,4))</f>
        <v>19200</v>
      </c>
      <c r="G640" s="21"/>
    </row>
    <row r="641" spans="1:7" ht="33.75" x14ac:dyDescent="0.25">
      <c r="A641" s="30" t="s">
        <v>226</v>
      </c>
      <c r="B641" s="31" t="str">
        <f ca="1">IFERROR(INDEX(UNSPSCDes,MATCH(INDIRECT(ADDRESS(ROW(),COLUMN()-1,4)),UNSPSCCode,0)),IF(INDIRECT(ADDRESS(ROW(),COLUMN()-1,4))="24112401","Cofres, cajas o armarios para herramientas",""))</f>
        <v>Cofres, cajas o armarios para herramientas</v>
      </c>
      <c r="C641" s="32" t="str">
        <f>IFERROR(VLOOKUP("UD",'[1]Informacion '!P:Q,2,FALSE),"")</f>
        <v>Unidad</v>
      </c>
      <c r="D641" s="30">
        <v>1</v>
      </c>
      <c r="E641" s="33">
        <v>4500</v>
      </c>
      <c r="F641" s="34">
        <f ca="1">INDIRECT(ADDRESS(ROW(),COLUMN()-2,4))*INDIRECT(ADDRESS(ROW(),COLUMN()-1,4))</f>
        <v>4500</v>
      </c>
      <c r="G641" s="21"/>
    </row>
    <row r="642" spans="1:7" ht="16.5" x14ac:dyDescent="0.25">
      <c r="A642" s="21"/>
      <c r="B642" s="21"/>
      <c r="C642" s="21"/>
      <c r="D642" s="21"/>
      <c r="E642" s="35" t="s">
        <v>56</v>
      </c>
      <c r="F642" s="36">
        <f ca="1">SUM(Table43[MONTO TOTAL ESTIMADO])</f>
        <v>67900</v>
      </c>
      <c r="G642" s="21"/>
    </row>
    <row r="643" spans="1:7" ht="17.25" thickBot="1" x14ac:dyDescent="0.3">
      <c r="A643" s="21"/>
      <c r="B643" s="21"/>
      <c r="C643" s="21"/>
      <c r="D643" s="21"/>
      <c r="E643" s="21"/>
      <c r="F643" s="21"/>
      <c r="G643" s="21"/>
    </row>
    <row r="644" spans="1:7" ht="23.25" thickBot="1" x14ac:dyDescent="0.3">
      <c r="A644" s="22" t="s">
        <v>19</v>
      </c>
      <c r="B644" s="22" t="s">
        <v>20</v>
      </c>
      <c r="C644" s="22" t="s">
        <v>21</v>
      </c>
      <c r="D644" s="22" t="s">
        <v>22</v>
      </c>
      <c r="E644" s="22" t="s">
        <v>23</v>
      </c>
      <c r="F644" s="22" t="s">
        <v>24</v>
      </c>
      <c r="G644" s="21"/>
    </row>
    <row r="645" spans="1:7" ht="17.25" thickBot="1" x14ac:dyDescent="0.3">
      <c r="A645" s="23" t="s">
        <v>227</v>
      </c>
      <c r="B645" s="23" t="s">
        <v>228</v>
      </c>
      <c r="C645" s="23" t="s">
        <v>64</v>
      </c>
      <c r="D645" s="23" t="s">
        <v>68</v>
      </c>
      <c r="E645" s="23" t="s">
        <v>29</v>
      </c>
      <c r="F645" s="23"/>
      <c r="G645" s="21"/>
    </row>
    <row r="646" spans="1:7" ht="17.25" thickBot="1" x14ac:dyDescent="0.3">
      <c r="A646" s="45" t="s">
        <v>30</v>
      </c>
      <c r="B646" s="24" t="s">
        <v>31</v>
      </c>
      <c r="C646" s="25">
        <v>44218</v>
      </c>
      <c r="D646" s="45" t="s">
        <v>32</v>
      </c>
      <c r="E646" s="26" t="s">
        <v>33</v>
      </c>
      <c r="F646" s="27" t="s">
        <v>34</v>
      </c>
      <c r="G646" s="21"/>
    </row>
    <row r="647" spans="1:7" ht="17.25" thickBot="1" x14ac:dyDescent="0.3">
      <c r="A647" s="46"/>
      <c r="B647" s="24" t="s">
        <v>35</v>
      </c>
      <c r="C647" s="28">
        <f>IF(C646="","",IF(AND(MONTH(C646)&gt;=1,MONTH(C646)&lt;=3),1,IF(AND(MONTH(C646)&gt;=4,MONTH(C646)&lt;=6),2,IF(AND(MONTH(C646)&gt;=7,MONTH(C646)&lt;=9),3,4))))</f>
        <v>1</v>
      </c>
      <c r="D647" s="46"/>
      <c r="E647" s="26" t="s">
        <v>36</v>
      </c>
      <c r="F647" s="27" t="s">
        <v>37</v>
      </c>
      <c r="G647" s="21"/>
    </row>
    <row r="648" spans="1:7" ht="17.25" thickBot="1" x14ac:dyDescent="0.3">
      <c r="A648" s="46"/>
      <c r="B648" s="24" t="s">
        <v>38</v>
      </c>
      <c r="C648" s="25">
        <v>44224</v>
      </c>
      <c r="D648" s="46"/>
      <c r="E648" s="26" t="s">
        <v>39</v>
      </c>
      <c r="F648" s="27" t="s">
        <v>37</v>
      </c>
      <c r="G648" s="21"/>
    </row>
    <row r="649" spans="1:7" ht="17.25" thickBot="1" x14ac:dyDescent="0.3">
      <c r="A649" s="46"/>
      <c r="B649" s="24" t="s">
        <v>35</v>
      </c>
      <c r="C649" s="28">
        <f>IF(C648="","",IF(AND(MONTH(C648)&gt;=1,MONTH(C648)&lt;=3),1,IF(AND(MONTH(C648)&gt;=4,MONTH(C648)&lt;=6),2,IF(AND(MONTH(C648)&gt;=7,MONTH(C648)&lt;=9),3,4))))</f>
        <v>1</v>
      </c>
      <c r="D649" s="46"/>
      <c r="E649" s="26" t="s">
        <v>40</v>
      </c>
      <c r="F649" s="27"/>
      <c r="G649" s="21"/>
    </row>
    <row r="650" spans="1:7" ht="17.25" thickBot="1" x14ac:dyDescent="0.3">
      <c r="A650" s="21"/>
      <c r="B650" s="21"/>
      <c r="C650" s="21"/>
      <c r="D650" s="21"/>
      <c r="E650" s="21"/>
      <c r="F650" s="21"/>
      <c r="G650" s="21"/>
    </row>
    <row r="651" spans="1:7" ht="17.25" thickBot="1" x14ac:dyDescent="0.3">
      <c r="A651" s="29" t="s">
        <v>41</v>
      </c>
      <c r="B651" s="29" t="s">
        <v>42</v>
      </c>
      <c r="C651" s="29" t="s">
        <v>43</v>
      </c>
      <c r="D651" s="29" t="s">
        <v>44</v>
      </c>
      <c r="E651" s="29" t="s">
        <v>45</v>
      </c>
      <c r="F651" s="29" t="s">
        <v>46</v>
      </c>
      <c r="G651" s="21"/>
    </row>
    <row r="652" spans="1:7" ht="22.5" x14ac:dyDescent="0.25">
      <c r="A652" s="30" t="s">
        <v>77</v>
      </c>
      <c r="B652" s="31" t="str">
        <f ca="1">IFERROR(INDEX(UNSPSCDes,MATCH(INDIRECT(ADDRESS(ROW(),COLUMN()-1,4)),UNSPSCCode,0)),IF(INDIRECT(ADDRESS(ROW(),COLUMN()-1,4))="90101802","Servicios de comidas a domicilio",""))</f>
        <v>Servicios de comidas a domicilio</v>
      </c>
      <c r="C652" s="32" t="str">
        <f>IFERROR(VLOOKUP("UD",'[1]Informacion '!P:Q,2,FALSE),"")</f>
        <v>Unidad</v>
      </c>
      <c r="D652" s="30">
        <v>360</v>
      </c>
      <c r="E652" s="33">
        <v>215</v>
      </c>
      <c r="F652" s="34">
        <f ca="1">INDIRECT(ADDRESS(ROW(),COLUMN()-2,4))*INDIRECT(ADDRESS(ROW(),COLUMN()-1,4))</f>
        <v>77400</v>
      </c>
      <c r="G652" s="21"/>
    </row>
    <row r="653" spans="1:7" ht="22.5" x14ac:dyDescent="0.25">
      <c r="A653" s="30" t="s">
        <v>77</v>
      </c>
      <c r="B653" s="31" t="str">
        <f ca="1">IFERROR(INDEX(UNSPSCDes,MATCH(INDIRECT(ADDRESS(ROW(),COLUMN()-1,4)),UNSPSCCode,0)),IF(INDIRECT(ADDRESS(ROW(),COLUMN()-1,4))="90101802","Servicios de comidas a domicilio",""))</f>
        <v>Servicios de comidas a domicilio</v>
      </c>
      <c r="C653" s="32" t="str">
        <f>IFERROR(VLOOKUP("UD",'[1]Informacion '!P:Q,2,FALSE),"")</f>
        <v>Unidad</v>
      </c>
      <c r="D653" s="30">
        <v>180</v>
      </c>
      <c r="E653" s="33">
        <v>180</v>
      </c>
      <c r="F653" s="34">
        <f ca="1">INDIRECT(ADDRESS(ROW(),COLUMN()-2,4))*INDIRECT(ADDRESS(ROW(),COLUMN()-1,4))</f>
        <v>32400</v>
      </c>
      <c r="G653" s="21"/>
    </row>
    <row r="654" spans="1:7" ht="16.5" x14ac:dyDescent="0.25">
      <c r="A654" s="21"/>
      <c r="B654" s="21"/>
      <c r="C654" s="21"/>
      <c r="D654" s="21"/>
      <c r="E654" s="35" t="s">
        <v>56</v>
      </c>
      <c r="F654" s="36">
        <f ca="1">SUM(Table44[MONTO TOTAL ESTIMADO])</f>
        <v>109800</v>
      </c>
      <c r="G654" s="21"/>
    </row>
    <row r="655" spans="1:7" ht="17.25" thickBot="1" x14ac:dyDescent="0.3">
      <c r="A655" s="21"/>
      <c r="B655" s="21"/>
      <c r="C655" s="21"/>
      <c r="D655" s="21"/>
      <c r="E655" s="21"/>
      <c r="F655" s="21"/>
      <c r="G655" s="21"/>
    </row>
    <row r="656" spans="1:7" ht="23.25" thickBot="1" x14ac:dyDescent="0.3">
      <c r="A656" s="22" t="s">
        <v>19</v>
      </c>
      <c r="B656" s="22" t="s">
        <v>20</v>
      </c>
      <c r="C656" s="22" t="s">
        <v>21</v>
      </c>
      <c r="D656" s="22" t="s">
        <v>22</v>
      </c>
      <c r="E656" s="22" t="s">
        <v>23</v>
      </c>
      <c r="F656" s="22" t="s">
        <v>24</v>
      </c>
      <c r="G656" s="21"/>
    </row>
    <row r="657" spans="1:7" ht="17.25" thickBot="1" x14ac:dyDescent="0.3">
      <c r="A657" s="23" t="s">
        <v>229</v>
      </c>
      <c r="B657" s="23" t="s">
        <v>230</v>
      </c>
      <c r="C657" s="23" t="s">
        <v>27</v>
      </c>
      <c r="D657" s="23" t="s">
        <v>68</v>
      </c>
      <c r="E657" s="23" t="s">
        <v>29</v>
      </c>
      <c r="F657" s="23"/>
      <c r="G657" s="21"/>
    </row>
    <row r="658" spans="1:7" ht="17.25" thickBot="1" x14ac:dyDescent="0.3">
      <c r="A658" s="45" t="s">
        <v>30</v>
      </c>
      <c r="B658" s="24" t="s">
        <v>31</v>
      </c>
      <c r="C658" s="25">
        <v>44291</v>
      </c>
      <c r="D658" s="45" t="s">
        <v>32</v>
      </c>
      <c r="E658" s="26" t="s">
        <v>33</v>
      </c>
      <c r="F658" s="27" t="s">
        <v>34</v>
      </c>
      <c r="G658" s="21"/>
    </row>
    <row r="659" spans="1:7" ht="17.25" thickBot="1" x14ac:dyDescent="0.3">
      <c r="A659" s="46"/>
      <c r="B659" s="24" t="s">
        <v>35</v>
      </c>
      <c r="C659" s="28">
        <f>IF(C658="","",IF(AND(MONTH(C658)&gt;=1,MONTH(C658)&lt;=3),1,IF(AND(MONTH(C658)&gt;=4,MONTH(C658)&lt;=6),2,IF(AND(MONTH(C658)&gt;=7,MONTH(C658)&lt;=9),3,4))))</f>
        <v>2</v>
      </c>
      <c r="D659" s="46"/>
      <c r="E659" s="26" t="s">
        <v>36</v>
      </c>
      <c r="F659" s="27" t="s">
        <v>37</v>
      </c>
      <c r="G659" s="21"/>
    </row>
    <row r="660" spans="1:7" ht="17.25" thickBot="1" x14ac:dyDescent="0.3">
      <c r="A660" s="46"/>
      <c r="B660" s="24" t="s">
        <v>38</v>
      </c>
      <c r="C660" s="25">
        <v>44295</v>
      </c>
      <c r="D660" s="46"/>
      <c r="E660" s="26" t="s">
        <v>39</v>
      </c>
      <c r="F660" s="27"/>
      <c r="G660" s="21"/>
    </row>
    <row r="661" spans="1:7" ht="17.25" thickBot="1" x14ac:dyDescent="0.3">
      <c r="A661" s="46"/>
      <c r="B661" s="24" t="s">
        <v>35</v>
      </c>
      <c r="C661" s="28">
        <f>IF(C660="","",IF(AND(MONTH(C660)&gt;=1,MONTH(C660)&lt;=3),1,IF(AND(MONTH(C660)&gt;=4,MONTH(C660)&lt;=6),2,IF(AND(MONTH(C660)&gt;=7,MONTH(C660)&lt;=9),3,4))))</f>
        <v>2</v>
      </c>
      <c r="D661" s="46"/>
      <c r="E661" s="26" t="s">
        <v>40</v>
      </c>
      <c r="F661" s="27"/>
      <c r="G661" s="21"/>
    </row>
    <row r="662" spans="1:7" ht="17.25" thickBot="1" x14ac:dyDescent="0.3">
      <c r="A662" s="21"/>
      <c r="B662" s="21"/>
      <c r="C662" s="21"/>
      <c r="D662" s="21"/>
      <c r="E662" s="21"/>
      <c r="F662" s="21"/>
      <c r="G662" s="21"/>
    </row>
    <row r="663" spans="1:7" ht="17.25" thickBot="1" x14ac:dyDescent="0.3">
      <c r="A663" s="29" t="s">
        <v>41</v>
      </c>
      <c r="B663" s="29" t="s">
        <v>42</v>
      </c>
      <c r="C663" s="29" t="s">
        <v>43</v>
      </c>
      <c r="D663" s="29" t="s">
        <v>44</v>
      </c>
      <c r="E663" s="29" t="s">
        <v>45</v>
      </c>
      <c r="F663" s="29" t="s">
        <v>46</v>
      </c>
      <c r="G663" s="21"/>
    </row>
    <row r="664" spans="1:7" ht="22.5" x14ac:dyDescent="0.25">
      <c r="A664" s="30" t="s">
        <v>231</v>
      </c>
      <c r="B664" s="31" t="str">
        <f ca="1">IFERROR(INDEX(UNSPSCDes,MATCH(INDIRECT(ADDRESS(ROW(),COLUMN()-1,4)),UNSPSCCode,0)),IF(INDIRECT(ADDRESS(ROW(),COLUMN()-1,4))="25172603","Parachoques para automotores",""))</f>
        <v>Parachoques para automotores</v>
      </c>
      <c r="C664" s="32" t="str">
        <f>IFERROR(VLOOKUP("UD",'[1]Informacion '!P:Q,2,FALSE),"")</f>
        <v>Unidad</v>
      </c>
      <c r="D664" s="30">
        <v>2</v>
      </c>
      <c r="E664" s="33">
        <v>40000</v>
      </c>
      <c r="F664" s="34">
        <f ca="1">INDIRECT(ADDRESS(ROW(),COLUMN()-2,4))*INDIRECT(ADDRESS(ROW(),COLUMN()-1,4))</f>
        <v>80000</v>
      </c>
      <c r="G664" s="21"/>
    </row>
    <row r="665" spans="1:7" ht="16.5" x14ac:dyDescent="0.25">
      <c r="A665" s="21"/>
      <c r="B665" s="21"/>
      <c r="C665" s="21"/>
      <c r="D665" s="21"/>
      <c r="E665" s="35" t="s">
        <v>56</v>
      </c>
      <c r="F665" s="36">
        <f ca="1">SUM(Table45[MONTO TOTAL ESTIMADO])</f>
        <v>80000</v>
      </c>
      <c r="G665" s="21"/>
    </row>
    <row r="666" spans="1:7" ht="17.25" thickBot="1" x14ac:dyDescent="0.3">
      <c r="A666" s="21"/>
      <c r="B666" s="21"/>
      <c r="C666" s="21"/>
      <c r="D666" s="21"/>
      <c r="E666" s="21"/>
      <c r="F666" s="21"/>
      <c r="G666" s="21"/>
    </row>
    <row r="667" spans="1:7" ht="23.25" thickBot="1" x14ac:dyDescent="0.3">
      <c r="A667" s="22" t="s">
        <v>19</v>
      </c>
      <c r="B667" s="22" t="s">
        <v>20</v>
      </c>
      <c r="C667" s="22" t="s">
        <v>21</v>
      </c>
      <c r="D667" s="22" t="s">
        <v>22</v>
      </c>
      <c r="E667" s="22" t="s">
        <v>23</v>
      </c>
      <c r="F667" s="22" t="s">
        <v>24</v>
      </c>
      <c r="G667" s="21"/>
    </row>
    <row r="668" spans="1:7" ht="17.25" thickBot="1" x14ac:dyDescent="0.3">
      <c r="A668" s="23" t="s">
        <v>232</v>
      </c>
      <c r="B668" s="23" t="s">
        <v>233</v>
      </c>
      <c r="C668" s="23" t="s">
        <v>27</v>
      </c>
      <c r="D668" s="23" t="s">
        <v>58</v>
      </c>
      <c r="E668" s="23" t="s">
        <v>29</v>
      </c>
      <c r="F668" s="23"/>
      <c r="G668" s="21"/>
    </row>
    <row r="669" spans="1:7" ht="17.25" thickBot="1" x14ac:dyDescent="0.3">
      <c r="A669" s="45" t="s">
        <v>30</v>
      </c>
      <c r="B669" s="24" t="s">
        <v>31</v>
      </c>
      <c r="C669" s="25">
        <v>44224</v>
      </c>
      <c r="D669" s="45" t="s">
        <v>32</v>
      </c>
      <c r="E669" s="26" t="s">
        <v>33</v>
      </c>
      <c r="F669" s="27" t="s">
        <v>34</v>
      </c>
      <c r="G669" s="21"/>
    </row>
    <row r="670" spans="1:7" ht="17.25" thickBot="1" x14ac:dyDescent="0.3">
      <c r="A670" s="46"/>
      <c r="B670" s="24" t="s">
        <v>35</v>
      </c>
      <c r="C670" s="28">
        <f>IF(C669="","",IF(AND(MONTH(C669)&gt;=1,MONTH(C669)&lt;=3),1,IF(AND(MONTH(C669)&gt;=4,MONTH(C669)&lt;=6),2,IF(AND(MONTH(C669)&gt;=7,MONTH(C669)&lt;=9),3,4))))</f>
        <v>1</v>
      </c>
      <c r="D670" s="46"/>
      <c r="E670" s="26" t="s">
        <v>36</v>
      </c>
      <c r="F670" s="27" t="s">
        <v>37</v>
      </c>
      <c r="G670" s="21"/>
    </row>
    <row r="671" spans="1:7" ht="17.25" thickBot="1" x14ac:dyDescent="0.3">
      <c r="A671" s="46"/>
      <c r="B671" s="24" t="s">
        <v>38</v>
      </c>
      <c r="C671" s="25">
        <v>44228</v>
      </c>
      <c r="D671" s="46"/>
      <c r="E671" s="26" t="s">
        <v>39</v>
      </c>
      <c r="F671" s="27"/>
      <c r="G671" s="21"/>
    </row>
    <row r="672" spans="1:7" ht="17.25" thickBot="1" x14ac:dyDescent="0.3">
      <c r="A672" s="46"/>
      <c r="B672" s="24" t="s">
        <v>35</v>
      </c>
      <c r="C672" s="28">
        <f>IF(C671="","",IF(AND(MONTH(C671)&gt;=1,MONTH(C671)&lt;=3),1,IF(AND(MONTH(C671)&gt;=4,MONTH(C671)&lt;=6),2,IF(AND(MONTH(C671)&gt;=7,MONTH(C671)&lt;=9),3,4))))</f>
        <v>1</v>
      </c>
      <c r="D672" s="46"/>
      <c r="E672" s="26" t="s">
        <v>40</v>
      </c>
      <c r="F672" s="27"/>
      <c r="G672" s="21"/>
    </row>
    <row r="673" spans="1:7" ht="17.25" thickBot="1" x14ac:dyDescent="0.3">
      <c r="A673" s="21"/>
      <c r="B673" s="21"/>
      <c r="C673" s="21"/>
      <c r="D673" s="21"/>
      <c r="E673" s="21"/>
      <c r="F673" s="21"/>
      <c r="G673" s="21"/>
    </row>
    <row r="674" spans="1:7" ht="17.25" thickBot="1" x14ac:dyDescent="0.3">
      <c r="A674" s="29" t="s">
        <v>41</v>
      </c>
      <c r="B674" s="29" t="s">
        <v>42</v>
      </c>
      <c r="C674" s="29" t="s">
        <v>43</v>
      </c>
      <c r="D674" s="29" t="s">
        <v>44</v>
      </c>
      <c r="E674" s="29" t="s">
        <v>45</v>
      </c>
      <c r="F674" s="29" t="s">
        <v>46</v>
      </c>
      <c r="G674" s="21"/>
    </row>
    <row r="675" spans="1:7" ht="22.5" x14ac:dyDescent="0.25">
      <c r="A675" s="30" t="s">
        <v>234</v>
      </c>
      <c r="B675" s="31" t="str">
        <f ca="1">IFERROR(INDEX(UNSPSCDes,MATCH(INDIRECT(ADDRESS(ROW(),COLUMN()-1,4)),UNSPSCCode,0)),IF(INDIRECT(ADDRESS(ROW(),COLUMN()-1,4))="41112213","Termómetros de mano",""))</f>
        <v>Termómetros de mano</v>
      </c>
      <c r="C675" s="32" t="str">
        <f>IFERROR(VLOOKUP("UD",'[1]Informacion '!P:Q,2,FALSE),"")</f>
        <v>Unidad</v>
      </c>
      <c r="D675" s="30">
        <v>30</v>
      </c>
      <c r="E675" s="33">
        <v>6000</v>
      </c>
      <c r="F675" s="34">
        <f ca="1">INDIRECT(ADDRESS(ROW(),COLUMN()-2,4))*INDIRECT(ADDRESS(ROW(),COLUMN()-1,4))</f>
        <v>180000</v>
      </c>
      <c r="G675" s="21"/>
    </row>
    <row r="676" spans="1:7" ht="16.5" x14ac:dyDescent="0.25">
      <c r="A676" s="21"/>
      <c r="B676" s="21"/>
      <c r="C676" s="21"/>
      <c r="D676" s="21"/>
      <c r="E676" s="35" t="s">
        <v>56</v>
      </c>
      <c r="F676" s="36">
        <f ca="1">SUM(Table46[MONTO TOTAL ESTIMADO])</f>
        <v>180000</v>
      </c>
      <c r="G676" s="21"/>
    </row>
    <row r="677" spans="1:7" ht="17.25" thickBot="1" x14ac:dyDescent="0.3">
      <c r="A677" s="21"/>
      <c r="B677" s="21"/>
      <c r="C677" s="21"/>
      <c r="D677" s="21"/>
      <c r="E677" s="21"/>
      <c r="F677" s="21"/>
      <c r="G677" s="21"/>
    </row>
    <row r="678" spans="1:7" ht="23.25" thickBot="1" x14ac:dyDescent="0.3">
      <c r="A678" s="22" t="s">
        <v>19</v>
      </c>
      <c r="B678" s="22" t="s">
        <v>20</v>
      </c>
      <c r="C678" s="22" t="s">
        <v>21</v>
      </c>
      <c r="D678" s="22" t="s">
        <v>22</v>
      </c>
      <c r="E678" s="22" t="s">
        <v>23</v>
      </c>
      <c r="F678" s="22" t="s">
        <v>24</v>
      </c>
      <c r="G678" s="21"/>
    </row>
    <row r="679" spans="1:7" ht="17.25" thickBot="1" x14ac:dyDescent="0.3">
      <c r="A679" s="23" t="s">
        <v>235</v>
      </c>
      <c r="B679" s="23" t="s">
        <v>236</v>
      </c>
      <c r="C679" s="23" t="s">
        <v>27</v>
      </c>
      <c r="D679" s="23" t="s">
        <v>68</v>
      </c>
      <c r="E679" s="23" t="s">
        <v>29</v>
      </c>
      <c r="F679" s="23"/>
      <c r="G679" s="21"/>
    </row>
    <row r="680" spans="1:7" ht="17.25" thickBot="1" x14ac:dyDescent="0.3">
      <c r="A680" s="45" t="s">
        <v>30</v>
      </c>
      <c r="B680" s="24" t="s">
        <v>31</v>
      </c>
      <c r="C680" s="25">
        <v>44319</v>
      </c>
      <c r="D680" s="45" t="s">
        <v>32</v>
      </c>
      <c r="E680" s="26" t="s">
        <v>33</v>
      </c>
      <c r="F680" s="27" t="s">
        <v>34</v>
      </c>
      <c r="G680" s="21"/>
    </row>
    <row r="681" spans="1:7" ht="17.25" thickBot="1" x14ac:dyDescent="0.3">
      <c r="A681" s="46"/>
      <c r="B681" s="24" t="s">
        <v>35</v>
      </c>
      <c r="C681" s="28">
        <f>IF(C680="","",IF(AND(MONTH(C680)&gt;=1,MONTH(C680)&lt;=3),1,IF(AND(MONTH(C680)&gt;=4,MONTH(C680)&lt;=6),2,IF(AND(MONTH(C680)&gt;=7,MONTH(C680)&lt;=9),3,4))))</f>
        <v>2</v>
      </c>
      <c r="D681" s="46"/>
      <c r="E681" s="26" t="s">
        <v>36</v>
      </c>
      <c r="F681" s="27" t="s">
        <v>37</v>
      </c>
      <c r="G681" s="21"/>
    </row>
    <row r="682" spans="1:7" ht="17.25" thickBot="1" x14ac:dyDescent="0.3">
      <c r="A682" s="46"/>
      <c r="B682" s="24" t="s">
        <v>38</v>
      </c>
      <c r="C682" s="25">
        <v>44323</v>
      </c>
      <c r="D682" s="46"/>
      <c r="E682" s="26" t="s">
        <v>39</v>
      </c>
      <c r="F682" s="27" t="s">
        <v>37</v>
      </c>
      <c r="G682" s="21"/>
    </row>
    <row r="683" spans="1:7" ht="17.25" thickBot="1" x14ac:dyDescent="0.3">
      <c r="A683" s="46"/>
      <c r="B683" s="24" t="s">
        <v>35</v>
      </c>
      <c r="C683" s="28">
        <f>IF(C682="","",IF(AND(MONTH(C682)&gt;=1,MONTH(C682)&lt;=3),1,IF(AND(MONTH(C682)&gt;=4,MONTH(C682)&lt;=6),2,IF(AND(MONTH(C682)&gt;=7,MONTH(C682)&lt;=9),3,4))))</f>
        <v>2</v>
      </c>
      <c r="D683" s="46"/>
      <c r="E683" s="26" t="s">
        <v>40</v>
      </c>
      <c r="F683" s="27"/>
      <c r="G683" s="21"/>
    </row>
    <row r="684" spans="1:7" ht="17.25" thickBot="1" x14ac:dyDescent="0.3">
      <c r="A684" s="21"/>
      <c r="B684" s="21"/>
      <c r="C684" s="21"/>
      <c r="D684" s="21"/>
      <c r="E684" s="21"/>
      <c r="F684" s="21"/>
      <c r="G684" s="21"/>
    </row>
    <row r="685" spans="1:7" ht="17.25" thickBot="1" x14ac:dyDescent="0.3">
      <c r="A685" s="29" t="s">
        <v>41</v>
      </c>
      <c r="B685" s="29" t="s">
        <v>42</v>
      </c>
      <c r="C685" s="29" t="s">
        <v>43</v>
      </c>
      <c r="D685" s="29" t="s">
        <v>44</v>
      </c>
      <c r="E685" s="29" t="s">
        <v>45</v>
      </c>
      <c r="F685" s="29" t="s">
        <v>46</v>
      </c>
      <c r="G685" s="21"/>
    </row>
    <row r="686" spans="1:7" ht="22.5" x14ac:dyDescent="0.25">
      <c r="A686" s="30" t="s">
        <v>237</v>
      </c>
      <c r="B686" s="31" t="str">
        <f ca="1">IFERROR(INDEX(UNSPSCDes,MATCH(INDIRECT(ADDRESS(ROW(),COLUMN()-1,4)),UNSPSCCode,0)),IF(INDIRECT(ADDRESS(ROW(),COLUMN()-1,4))="48101714","Dispensadores de agua caliente",""))</f>
        <v>Dispensadores de agua caliente</v>
      </c>
      <c r="C686" s="32" t="str">
        <f>IFERROR(VLOOKUP("UD",'[1]Informacion '!P:Q,2,FALSE),"")</f>
        <v>Unidad</v>
      </c>
      <c r="D686" s="30">
        <v>1</v>
      </c>
      <c r="E686" s="33">
        <v>15000</v>
      </c>
      <c r="F686" s="34">
        <f ca="1">INDIRECT(ADDRESS(ROW(),COLUMN()-2,4))*INDIRECT(ADDRESS(ROW(),COLUMN()-1,4))</f>
        <v>15000</v>
      </c>
      <c r="G686" s="21"/>
    </row>
    <row r="687" spans="1:7" ht="22.5" x14ac:dyDescent="0.25">
      <c r="A687" s="30" t="s">
        <v>72</v>
      </c>
      <c r="B687" s="31" t="str">
        <f ca="1">IFERROR(INDEX(UNSPSCDes,MATCH(INDIRECT(ADDRESS(ROW(),COLUMN()-1,4)),UNSPSCCode,0)),IF(INDIRECT(ADDRESS(ROW(),COLUMN()-1,4))="52141501","Neveras para uso doméstico",""))</f>
        <v>Neveras para uso doméstico</v>
      </c>
      <c r="C687" s="32" t="str">
        <f>IFERROR(VLOOKUP("UD",'[1]Informacion '!P:Q,2,FALSE),"")</f>
        <v>Unidad</v>
      </c>
      <c r="D687" s="30">
        <v>1</v>
      </c>
      <c r="E687" s="33">
        <v>16000</v>
      </c>
      <c r="F687" s="34">
        <f ca="1">INDIRECT(ADDRESS(ROW(),COLUMN()-2,4))*INDIRECT(ADDRESS(ROW(),COLUMN()-1,4))</f>
        <v>16000</v>
      </c>
      <c r="G687" s="21"/>
    </row>
    <row r="688" spans="1:7" ht="22.5" x14ac:dyDescent="0.25">
      <c r="A688" s="30" t="s">
        <v>72</v>
      </c>
      <c r="B688" s="31" t="str">
        <f ca="1">IFERROR(INDEX(UNSPSCDes,MATCH(INDIRECT(ADDRESS(ROW(),COLUMN()-1,4)),UNSPSCCode,0)),IF(INDIRECT(ADDRESS(ROW(),COLUMN()-1,4))="52141501","Neveras para uso doméstico",""))</f>
        <v>Neveras para uso doméstico</v>
      </c>
      <c r="C688" s="32" t="str">
        <f>IFERROR(VLOOKUP("UD",'[1]Informacion '!P:Q,2,FALSE),"")</f>
        <v>Unidad</v>
      </c>
      <c r="D688" s="30">
        <v>2</v>
      </c>
      <c r="E688" s="33">
        <v>28000</v>
      </c>
      <c r="F688" s="34">
        <f ca="1">INDIRECT(ADDRESS(ROW(),COLUMN()-2,4))*INDIRECT(ADDRESS(ROW(),COLUMN()-1,4))</f>
        <v>56000</v>
      </c>
      <c r="G688" s="21"/>
    </row>
    <row r="689" spans="1:7" ht="22.5" x14ac:dyDescent="0.25">
      <c r="A689" s="30" t="s">
        <v>238</v>
      </c>
      <c r="B689" s="31" t="str">
        <f ca="1">IFERROR(INDEX(UNSPSCDes,MATCH(INDIRECT(ADDRESS(ROW(),COLUMN()-1,4)),UNSPSCCode,0)),IF(INDIRECT(ADDRESS(ROW(),COLUMN()-1,4))="48101521","Planchas de estufa para uso comercial",""))</f>
        <v>Planchas de estufa para uso comercial</v>
      </c>
      <c r="C689" s="32" t="str">
        <f>IFERROR(VLOOKUP("UD",'[1]Informacion '!P:Q,2,FALSE),"")</f>
        <v>Unidad</v>
      </c>
      <c r="D689" s="30">
        <v>2</v>
      </c>
      <c r="E689" s="33">
        <v>1500</v>
      </c>
      <c r="F689" s="34">
        <f ca="1">INDIRECT(ADDRESS(ROW(),COLUMN()-2,4))*INDIRECT(ADDRESS(ROW(),COLUMN()-1,4))</f>
        <v>3000</v>
      </c>
      <c r="G689" s="21"/>
    </row>
    <row r="690" spans="1:7" ht="22.5" x14ac:dyDescent="0.25">
      <c r="A690" s="30" t="s">
        <v>239</v>
      </c>
      <c r="B690" s="31" t="str">
        <f ca="1">IFERROR(INDEX(UNSPSCDes,MATCH(INDIRECT(ADDRESS(ROW(),COLUMN()-1,4)),UNSPSCCode,0)),IF(INDIRECT(ADDRESS(ROW(),COLUMN()-1,4))="52141502","Hornos microondas para uso doméstico",""))</f>
        <v>Hornos microondas para uso doméstico</v>
      </c>
      <c r="C690" s="32" t="str">
        <f>IFERROR(VLOOKUP("UD",'[1]Informacion '!P:Q,2,FALSE),"")</f>
        <v>Unidad</v>
      </c>
      <c r="D690" s="30">
        <v>1</v>
      </c>
      <c r="E690" s="33">
        <v>12000</v>
      </c>
      <c r="F690" s="34">
        <f ca="1">INDIRECT(ADDRESS(ROW(),COLUMN()-2,4))*INDIRECT(ADDRESS(ROW(),COLUMN()-1,4))</f>
        <v>12000</v>
      </c>
      <c r="G690" s="21"/>
    </row>
    <row r="691" spans="1:7" ht="16.5" x14ac:dyDescent="0.25">
      <c r="A691" s="21"/>
      <c r="B691" s="21"/>
      <c r="C691" s="21"/>
      <c r="D691" s="21"/>
      <c r="E691" s="35" t="s">
        <v>56</v>
      </c>
      <c r="F691" s="36">
        <f ca="1">SUM(Table47[MONTO TOTAL ESTIMADO])</f>
        <v>102000</v>
      </c>
      <c r="G691" s="21"/>
    </row>
    <row r="692" spans="1:7" ht="17.25" thickBot="1" x14ac:dyDescent="0.3">
      <c r="A692" s="21"/>
      <c r="B692" s="21"/>
      <c r="C692" s="21"/>
      <c r="D692" s="21"/>
      <c r="E692" s="21"/>
      <c r="F692" s="21"/>
      <c r="G692" s="21"/>
    </row>
    <row r="693" spans="1:7" ht="23.25" thickBot="1" x14ac:dyDescent="0.3">
      <c r="A693" s="22" t="s">
        <v>19</v>
      </c>
      <c r="B693" s="22" t="s">
        <v>20</v>
      </c>
      <c r="C693" s="22" t="s">
        <v>21</v>
      </c>
      <c r="D693" s="22" t="s">
        <v>22</v>
      </c>
      <c r="E693" s="22" t="s">
        <v>23</v>
      </c>
      <c r="F693" s="22" t="s">
        <v>24</v>
      </c>
      <c r="G693" s="21"/>
    </row>
    <row r="694" spans="1:7" ht="17.25" thickBot="1" x14ac:dyDescent="0.3">
      <c r="A694" s="23" t="s">
        <v>240</v>
      </c>
      <c r="B694" s="23" t="s">
        <v>241</v>
      </c>
      <c r="C694" s="23" t="s">
        <v>27</v>
      </c>
      <c r="D694" s="23" t="s">
        <v>58</v>
      </c>
      <c r="E694" s="23" t="s">
        <v>29</v>
      </c>
      <c r="F694" s="23"/>
      <c r="G694" s="21"/>
    </row>
    <row r="695" spans="1:7" ht="17.25" thickBot="1" x14ac:dyDescent="0.3">
      <c r="A695" s="45" t="s">
        <v>30</v>
      </c>
      <c r="B695" s="24" t="s">
        <v>31</v>
      </c>
      <c r="C695" s="25">
        <v>44344</v>
      </c>
      <c r="D695" s="45" t="s">
        <v>32</v>
      </c>
      <c r="E695" s="26" t="s">
        <v>33</v>
      </c>
      <c r="F695" s="27" t="s">
        <v>34</v>
      </c>
      <c r="G695" s="21"/>
    </row>
    <row r="696" spans="1:7" ht="17.25" thickBot="1" x14ac:dyDescent="0.3">
      <c r="A696" s="46"/>
      <c r="B696" s="24" t="s">
        <v>35</v>
      </c>
      <c r="C696" s="28">
        <f>IF(C695="","",IF(AND(MONTH(C695)&gt;=1,MONTH(C695)&lt;=3),1,IF(AND(MONTH(C695)&gt;=4,MONTH(C695)&lt;=6),2,IF(AND(MONTH(C695)&gt;=7,MONTH(C695)&lt;=9),3,4))))</f>
        <v>2</v>
      </c>
      <c r="D696" s="46"/>
      <c r="E696" s="26" t="s">
        <v>36</v>
      </c>
      <c r="F696" s="27" t="s">
        <v>37</v>
      </c>
      <c r="G696" s="21"/>
    </row>
    <row r="697" spans="1:7" ht="17.25" thickBot="1" x14ac:dyDescent="0.3">
      <c r="A697" s="46"/>
      <c r="B697" s="24" t="s">
        <v>38</v>
      </c>
      <c r="C697" s="25">
        <v>44351</v>
      </c>
      <c r="D697" s="46"/>
      <c r="E697" s="26" t="s">
        <v>39</v>
      </c>
      <c r="F697" s="27" t="s">
        <v>37</v>
      </c>
      <c r="G697" s="21"/>
    </row>
    <row r="698" spans="1:7" ht="17.25" thickBot="1" x14ac:dyDescent="0.3">
      <c r="A698" s="46"/>
      <c r="B698" s="24" t="s">
        <v>35</v>
      </c>
      <c r="C698" s="28">
        <f>IF(C697="","",IF(AND(MONTH(C697)&gt;=1,MONTH(C697)&lt;=3),1,IF(AND(MONTH(C697)&gt;=4,MONTH(C697)&lt;=6),2,IF(AND(MONTH(C697)&gt;=7,MONTH(C697)&lt;=9),3,4))))</f>
        <v>2</v>
      </c>
      <c r="D698" s="46"/>
      <c r="E698" s="26" t="s">
        <v>40</v>
      </c>
      <c r="F698" s="27"/>
      <c r="G698" s="21"/>
    </row>
    <row r="699" spans="1:7" ht="17.25" thickBot="1" x14ac:dyDescent="0.3">
      <c r="A699" s="21"/>
      <c r="B699" s="21"/>
      <c r="C699" s="21"/>
      <c r="D699" s="21"/>
      <c r="E699" s="21"/>
      <c r="F699" s="21"/>
      <c r="G699" s="21"/>
    </row>
    <row r="700" spans="1:7" ht="17.25" thickBot="1" x14ac:dyDescent="0.3">
      <c r="A700" s="29" t="s">
        <v>41</v>
      </c>
      <c r="B700" s="29" t="s">
        <v>42</v>
      </c>
      <c r="C700" s="29" t="s">
        <v>43</v>
      </c>
      <c r="D700" s="29" t="s">
        <v>44</v>
      </c>
      <c r="E700" s="29" t="s">
        <v>45</v>
      </c>
      <c r="F700" s="29" t="s">
        <v>46</v>
      </c>
      <c r="G700" s="21"/>
    </row>
    <row r="701" spans="1:7" ht="22.5" x14ac:dyDescent="0.25">
      <c r="A701" s="30" t="s">
        <v>242</v>
      </c>
      <c r="B701" s="31" t="str">
        <f ca="1">IFERROR(INDEX(UNSPSCDes,MATCH(INDIRECT(ADDRESS(ROW(),COLUMN()-1,4)),UNSPSCCode,0)),IF(INDIRECT(ADDRESS(ROW(),COLUMN()-1,4))="52131602","Persianas enrollables",""))</f>
        <v>Persianas enrollables</v>
      </c>
      <c r="C701" s="32" t="str">
        <f>IFERROR(VLOOKUP("UD",'[1]Informacion '!P:Q,2,FALSE),"")</f>
        <v>Unidad</v>
      </c>
      <c r="D701" s="30">
        <v>1</v>
      </c>
      <c r="E701" s="33">
        <v>6500</v>
      </c>
      <c r="F701" s="34">
        <f t="shared" ref="F701:F715" ca="1" si="13">INDIRECT(ADDRESS(ROW(),COLUMN()-2,4))*INDIRECT(ADDRESS(ROW(),COLUMN()-1,4))</f>
        <v>6500</v>
      </c>
      <c r="G701" s="21"/>
    </row>
    <row r="702" spans="1:7" ht="22.5" x14ac:dyDescent="0.25">
      <c r="A702" s="30" t="s">
        <v>243</v>
      </c>
      <c r="B702" s="31" t="str">
        <f t="shared" ref="B702:B715" ca="1" si="14">IFERROR(INDEX(UNSPSCDes,MATCH(INDIRECT(ADDRESS(ROW(),COLUMN()-1,4)),UNSPSCCode,0)),IF(INDIRECT(ADDRESS(ROW(),COLUMN()-1,4))="52131601","Persianas venecianas",""))</f>
        <v>Persianas venecianas</v>
      </c>
      <c r="C702" s="32" t="str">
        <f>IFERROR(VLOOKUP("UD",'[1]Informacion '!P:Q,2,FALSE),"")</f>
        <v>Unidad</v>
      </c>
      <c r="D702" s="30">
        <v>4</v>
      </c>
      <c r="E702" s="33">
        <v>10500</v>
      </c>
      <c r="F702" s="34">
        <f t="shared" ca="1" si="13"/>
        <v>42000</v>
      </c>
      <c r="G702" s="21"/>
    </row>
    <row r="703" spans="1:7" ht="22.5" x14ac:dyDescent="0.25">
      <c r="A703" s="30" t="s">
        <v>243</v>
      </c>
      <c r="B703" s="31" t="str">
        <f t="shared" ca="1" si="14"/>
        <v>Persianas venecianas</v>
      </c>
      <c r="C703" s="32" t="str">
        <f>IFERROR(VLOOKUP("UD",'[1]Informacion '!P:Q,2,FALSE),"")</f>
        <v>Unidad</v>
      </c>
      <c r="D703" s="30">
        <v>1</v>
      </c>
      <c r="E703" s="33">
        <v>7200</v>
      </c>
      <c r="F703" s="34">
        <f t="shared" ca="1" si="13"/>
        <v>7200</v>
      </c>
      <c r="G703" s="21"/>
    </row>
    <row r="704" spans="1:7" ht="22.5" x14ac:dyDescent="0.25">
      <c r="A704" s="30" t="s">
        <v>243</v>
      </c>
      <c r="B704" s="31" t="str">
        <f t="shared" ca="1" si="14"/>
        <v>Persianas venecianas</v>
      </c>
      <c r="C704" s="32" t="str">
        <f>IFERROR(VLOOKUP("UD",'[1]Informacion '!P:Q,2,FALSE),"")</f>
        <v>Unidad</v>
      </c>
      <c r="D704" s="30">
        <v>1</v>
      </c>
      <c r="E704" s="33">
        <v>6000</v>
      </c>
      <c r="F704" s="34">
        <f t="shared" ca="1" si="13"/>
        <v>6000</v>
      </c>
      <c r="G704" s="21"/>
    </row>
    <row r="705" spans="1:7" ht="22.5" x14ac:dyDescent="0.25">
      <c r="A705" s="30" t="s">
        <v>243</v>
      </c>
      <c r="B705" s="31" t="str">
        <f t="shared" ca="1" si="14"/>
        <v>Persianas venecianas</v>
      </c>
      <c r="C705" s="32" t="str">
        <f>IFERROR(VLOOKUP("UD",'[1]Informacion '!P:Q,2,FALSE),"")</f>
        <v>Unidad</v>
      </c>
      <c r="D705" s="30">
        <v>1</v>
      </c>
      <c r="E705" s="33">
        <v>5500</v>
      </c>
      <c r="F705" s="34">
        <f t="shared" ca="1" si="13"/>
        <v>5500</v>
      </c>
      <c r="G705" s="21"/>
    </row>
    <row r="706" spans="1:7" ht="22.5" x14ac:dyDescent="0.25">
      <c r="A706" s="30" t="s">
        <v>243</v>
      </c>
      <c r="B706" s="31" t="str">
        <f t="shared" ca="1" si="14"/>
        <v>Persianas venecianas</v>
      </c>
      <c r="C706" s="32" t="str">
        <f>IFERROR(VLOOKUP("UD",'[1]Informacion '!P:Q,2,FALSE),"")</f>
        <v>Unidad</v>
      </c>
      <c r="D706" s="30">
        <v>2</v>
      </c>
      <c r="E706" s="33">
        <v>5700</v>
      </c>
      <c r="F706" s="34">
        <f t="shared" ca="1" si="13"/>
        <v>11400</v>
      </c>
      <c r="G706" s="21"/>
    </row>
    <row r="707" spans="1:7" ht="22.5" x14ac:dyDescent="0.25">
      <c r="A707" s="30" t="s">
        <v>243</v>
      </c>
      <c r="B707" s="31" t="str">
        <f t="shared" ca="1" si="14"/>
        <v>Persianas venecianas</v>
      </c>
      <c r="C707" s="32" t="str">
        <f>IFERROR(VLOOKUP("UD",'[1]Informacion '!P:Q,2,FALSE),"")</f>
        <v>Unidad</v>
      </c>
      <c r="D707" s="30">
        <v>1</v>
      </c>
      <c r="E707" s="33">
        <v>4000</v>
      </c>
      <c r="F707" s="34">
        <f t="shared" ca="1" si="13"/>
        <v>4000</v>
      </c>
      <c r="G707" s="21"/>
    </row>
    <row r="708" spans="1:7" ht="22.5" x14ac:dyDescent="0.25">
      <c r="A708" s="30" t="s">
        <v>243</v>
      </c>
      <c r="B708" s="31" t="str">
        <f t="shared" ca="1" si="14"/>
        <v>Persianas venecianas</v>
      </c>
      <c r="C708" s="32" t="str">
        <f>IFERROR(VLOOKUP("UD",'[1]Informacion '!P:Q,2,FALSE),"")</f>
        <v>Unidad</v>
      </c>
      <c r="D708" s="30">
        <v>1</v>
      </c>
      <c r="E708" s="33">
        <v>6500</v>
      </c>
      <c r="F708" s="34">
        <f t="shared" ca="1" si="13"/>
        <v>6500</v>
      </c>
      <c r="G708" s="21"/>
    </row>
    <row r="709" spans="1:7" ht="22.5" x14ac:dyDescent="0.25">
      <c r="A709" s="30" t="s">
        <v>243</v>
      </c>
      <c r="B709" s="31" t="str">
        <f t="shared" ca="1" si="14"/>
        <v>Persianas venecianas</v>
      </c>
      <c r="C709" s="32" t="str">
        <f>IFERROR(VLOOKUP("UD",'[1]Informacion '!P:Q,2,FALSE),"")</f>
        <v>Unidad</v>
      </c>
      <c r="D709" s="30">
        <v>1</v>
      </c>
      <c r="E709" s="33">
        <v>5300</v>
      </c>
      <c r="F709" s="34">
        <f t="shared" ca="1" si="13"/>
        <v>5300</v>
      </c>
      <c r="G709" s="21"/>
    </row>
    <row r="710" spans="1:7" ht="22.5" x14ac:dyDescent="0.25">
      <c r="A710" s="30" t="s">
        <v>243</v>
      </c>
      <c r="B710" s="31" t="str">
        <f t="shared" ca="1" si="14"/>
        <v>Persianas venecianas</v>
      </c>
      <c r="C710" s="32" t="str">
        <f>IFERROR(VLOOKUP("UD",'[1]Informacion '!P:Q,2,FALSE),"")</f>
        <v>Unidad</v>
      </c>
      <c r="D710" s="30">
        <v>1</v>
      </c>
      <c r="E710" s="33">
        <v>10000</v>
      </c>
      <c r="F710" s="34">
        <f t="shared" ca="1" si="13"/>
        <v>10000</v>
      </c>
      <c r="G710" s="21"/>
    </row>
    <row r="711" spans="1:7" ht="22.5" x14ac:dyDescent="0.25">
      <c r="A711" s="30" t="s">
        <v>243</v>
      </c>
      <c r="B711" s="31" t="str">
        <f t="shared" ca="1" si="14"/>
        <v>Persianas venecianas</v>
      </c>
      <c r="C711" s="32" t="str">
        <f>IFERROR(VLOOKUP("UD",'[1]Informacion '!P:Q,2,FALSE),"")</f>
        <v>Unidad</v>
      </c>
      <c r="D711" s="30">
        <v>3</v>
      </c>
      <c r="E711" s="33">
        <v>6000</v>
      </c>
      <c r="F711" s="34">
        <f t="shared" ca="1" si="13"/>
        <v>18000</v>
      </c>
      <c r="G711" s="21"/>
    </row>
    <row r="712" spans="1:7" ht="22.5" x14ac:dyDescent="0.25">
      <c r="A712" s="30" t="s">
        <v>243</v>
      </c>
      <c r="B712" s="31" t="str">
        <f t="shared" ca="1" si="14"/>
        <v>Persianas venecianas</v>
      </c>
      <c r="C712" s="32" t="str">
        <f>IFERROR(VLOOKUP("UD",'[1]Informacion '!P:Q,2,FALSE),"")</f>
        <v>Unidad</v>
      </c>
      <c r="D712" s="30">
        <v>1</v>
      </c>
      <c r="E712" s="33">
        <v>4200</v>
      </c>
      <c r="F712" s="34">
        <f t="shared" ca="1" si="13"/>
        <v>4200</v>
      </c>
      <c r="G712" s="21"/>
    </row>
    <row r="713" spans="1:7" ht="22.5" x14ac:dyDescent="0.25">
      <c r="A713" s="30" t="s">
        <v>243</v>
      </c>
      <c r="B713" s="31" t="str">
        <f t="shared" ca="1" si="14"/>
        <v>Persianas venecianas</v>
      </c>
      <c r="C713" s="32" t="str">
        <f>IFERROR(VLOOKUP("UD",'[1]Informacion '!P:Q,2,FALSE),"")</f>
        <v>Unidad</v>
      </c>
      <c r="D713" s="30">
        <v>1</v>
      </c>
      <c r="E713" s="33">
        <v>5000</v>
      </c>
      <c r="F713" s="34">
        <f t="shared" ca="1" si="13"/>
        <v>5000</v>
      </c>
      <c r="G713" s="21"/>
    </row>
    <row r="714" spans="1:7" ht="22.5" x14ac:dyDescent="0.25">
      <c r="A714" s="30" t="s">
        <v>243</v>
      </c>
      <c r="B714" s="31" t="str">
        <f t="shared" ca="1" si="14"/>
        <v>Persianas venecianas</v>
      </c>
      <c r="C714" s="32" t="str">
        <f>IFERROR(VLOOKUP("UD",'[1]Informacion '!P:Q,2,FALSE),"")</f>
        <v>Unidad</v>
      </c>
      <c r="D714" s="30">
        <v>1</v>
      </c>
      <c r="E714" s="33">
        <v>5400</v>
      </c>
      <c r="F714" s="34">
        <f t="shared" ca="1" si="13"/>
        <v>5400</v>
      </c>
      <c r="G714" s="21"/>
    </row>
    <row r="715" spans="1:7" ht="22.5" x14ac:dyDescent="0.25">
      <c r="A715" s="30" t="s">
        <v>243</v>
      </c>
      <c r="B715" s="31" t="str">
        <f t="shared" ca="1" si="14"/>
        <v>Persianas venecianas</v>
      </c>
      <c r="C715" s="32" t="str">
        <f>IFERROR(VLOOKUP("UD",'[1]Informacion '!P:Q,2,FALSE),"")</f>
        <v>Unidad</v>
      </c>
      <c r="D715" s="30">
        <v>2</v>
      </c>
      <c r="E715" s="33">
        <v>4000</v>
      </c>
      <c r="F715" s="34">
        <f t="shared" ca="1" si="13"/>
        <v>8000</v>
      </c>
      <c r="G715" s="21"/>
    </row>
    <row r="716" spans="1:7" ht="16.5" x14ac:dyDescent="0.25">
      <c r="A716" s="21"/>
      <c r="B716" s="21"/>
      <c r="C716" s="21"/>
      <c r="D716" s="21"/>
      <c r="E716" s="35" t="s">
        <v>56</v>
      </c>
      <c r="F716" s="36">
        <f ca="1">SUM(Table48[MONTO TOTAL ESTIMADO])</f>
        <v>145000</v>
      </c>
      <c r="G716" s="21"/>
    </row>
    <row r="717" spans="1:7" ht="17.25" thickBot="1" x14ac:dyDescent="0.3">
      <c r="A717" s="21"/>
      <c r="B717" s="21"/>
      <c r="C717" s="21"/>
      <c r="D717" s="21"/>
      <c r="E717" s="21"/>
      <c r="F717" s="21"/>
      <c r="G717" s="21"/>
    </row>
    <row r="718" spans="1:7" ht="23.25" thickBot="1" x14ac:dyDescent="0.3">
      <c r="A718" s="22" t="s">
        <v>19</v>
      </c>
      <c r="B718" s="22" t="s">
        <v>20</v>
      </c>
      <c r="C718" s="22" t="s">
        <v>21</v>
      </c>
      <c r="D718" s="22" t="s">
        <v>22</v>
      </c>
      <c r="E718" s="22" t="s">
        <v>23</v>
      </c>
      <c r="F718" s="22" t="s">
        <v>24</v>
      </c>
      <c r="G718" s="21"/>
    </row>
    <row r="719" spans="1:7" ht="17.25" thickBot="1" x14ac:dyDescent="0.3">
      <c r="A719" s="23" t="s">
        <v>244</v>
      </c>
      <c r="B719" s="23" t="s">
        <v>245</v>
      </c>
      <c r="C719" s="23" t="s">
        <v>64</v>
      </c>
      <c r="D719" s="23" t="s">
        <v>28</v>
      </c>
      <c r="E719" s="23" t="s">
        <v>29</v>
      </c>
      <c r="F719" s="23"/>
      <c r="G719" s="21"/>
    </row>
    <row r="720" spans="1:7" ht="17.25" thickBot="1" x14ac:dyDescent="0.3">
      <c r="A720" s="45" t="s">
        <v>30</v>
      </c>
      <c r="B720" s="24" t="s">
        <v>31</v>
      </c>
      <c r="C720" s="25">
        <v>44489</v>
      </c>
      <c r="D720" s="45" t="s">
        <v>32</v>
      </c>
      <c r="E720" s="26" t="s">
        <v>33</v>
      </c>
      <c r="F720" s="27" t="s">
        <v>34</v>
      </c>
      <c r="G720" s="21"/>
    </row>
    <row r="721" spans="1:7" ht="17.25" thickBot="1" x14ac:dyDescent="0.3">
      <c r="A721" s="46"/>
      <c r="B721" s="24" t="s">
        <v>35</v>
      </c>
      <c r="C721" s="28">
        <f>IF(C720="","",IF(AND(MONTH(C720)&gt;=1,MONTH(C720)&lt;=3),1,IF(AND(MONTH(C720)&gt;=4,MONTH(C720)&lt;=6),2,IF(AND(MONTH(C720)&gt;=7,MONTH(C720)&lt;=9),3,4))))</f>
        <v>4</v>
      </c>
      <c r="D721" s="46"/>
      <c r="E721" s="26" t="s">
        <v>36</v>
      </c>
      <c r="F721" s="27" t="s">
        <v>37</v>
      </c>
      <c r="G721" s="21"/>
    </row>
    <row r="722" spans="1:7" ht="17.25" thickBot="1" x14ac:dyDescent="0.3">
      <c r="A722" s="46"/>
      <c r="B722" s="24" t="s">
        <v>38</v>
      </c>
      <c r="C722" s="25">
        <v>44510</v>
      </c>
      <c r="D722" s="46"/>
      <c r="E722" s="26" t="s">
        <v>39</v>
      </c>
      <c r="F722" s="27" t="s">
        <v>37</v>
      </c>
      <c r="G722" s="21"/>
    </row>
    <row r="723" spans="1:7" ht="17.25" thickBot="1" x14ac:dyDescent="0.3">
      <c r="A723" s="46"/>
      <c r="B723" s="24" t="s">
        <v>35</v>
      </c>
      <c r="C723" s="28">
        <f>IF(C722="","",IF(AND(MONTH(C722)&gt;=1,MONTH(C722)&lt;=3),1,IF(AND(MONTH(C722)&gt;=4,MONTH(C722)&lt;=6),2,IF(AND(MONTH(C722)&gt;=7,MONTH(C722)&lt;=9),3,4))))</f>
        <v>4</v>
      </c>
      <c r="D723" s="46"/>
      <c r="E723" s="26" t="s">
        <v>40</v>
      </c>
      <c r="F723" s="27"/>
      <c r="G723" s="21"/>
    </row>
    <row r="724" spans="1:7" ht="17.25" thickBot="1" x14ac:dyDescent="0.3">
      <c r="A724" s="21"/>
      <c r="B724" s="21"/>
      <c r="C724" s="21"/>
      <c r="D724" s="21"/>
      <c r="E724" s="21"/>
      <c r="F724" s="21"/>
      <c r="G724" s="21"/>
    </row>
    <row r="725" spans="1:7" ht="17.25" thickBot="1" x14ac:dyDescent="0.3">
      <c r="A725" s="29" t="s">
        <v>41</v>
      </c>
      <c r="B725" s="29" t="s">
        <v>42</v>
      </c>
      <c r="C725" s="29" t="s">
        <v>43</v>
      </c>
      <c r="D725" s="29" t="s">
        <v>44</v>
      </c>
      <c r="E725" s="29" t="s">
        <v>45</v>
      </c>
      <c r="F725" s="29" t="s">
        <v>46</v>
      </c>
      <c r="G725" s="21"/>
    </row>
    <row r="726" spans="1:7" ht="16.5" x14ac:dyDescent="0.25">
      <c r="A726" s="30" t="s">
        <v>246</v>
      </c>
      <c r="B726" s="31" t="str">
        <f ca="1">IFERROR(INDEX(UNSPSCDes,MATCH(INDIRECT(ADDRESS(ROW(),COLUMN()-1,4)),UNSPSCCode,0)),IF(INDIRECT(ADDRESS(ROW(),COLUMN()-1,4))="44101501","Fotocopiadoras",""))</f>
        <v>Fotocopiadoras</v>
      </c>
      <c r="C726" s="32" t="str">
        <f>IFERROR(VLOOKUP("UD",'[1]Informacion '!P:Q,2,FALSE),"")</f>
        <v>Unidad</v>
      </c>
      <c r="D726" s="30">
        <v>12</v>
      </c>
      <c r="E726" s="33">
        <v>200000</v>
      </c>
      <c r="F726" s="34">
        <f ca="1">INDIRECT(ADDRESS(ROW(),COLUMN()-2,4))*INDIRECT(ADDRESS(ROW(),COLUMN()-1,4))</f>
        <v>2400000</v>
      </c>
      <c r="G726" s="21"/>
    </row>
    <row r="727" spans="1:7" ht="16.5" x14ac:dyDescent="0.25">
      <c r="A727" s="21"/>
      <c r="B727" s="21"/>
      <c r="C727" s="21"/>
      <c r="D727" s="21"/>
      <c r="E727" s="35" t="s">
        <v>56</v>
      </c>
      <c r="F727" s="36">
        <f ca="1">SUM(Table49[MONTO TOTAL ESTIMADO])</f>
        <v>2400000</v>
      </c>
      <c r="G727" s="21"/>
    </row>
  </sheetData>
  <protectedRanges>
    <protectedRange sqref="F5:G5" name="Rango3_1"/>
    <protectedRange sqref="E11:E12" name="Rango2_1"/>
  </protectedRanges>
  <mergeCells count="102">
    <mergeCell ref="A680:A683"/>
    <mergeCell ref="D680:D683"/>
    <mergeCell ref="A695:A698"/>
    <mergeCell ref="D695:D698"/>
    <mergeCell ref="A720:A723"/>
    <mergeCell ref="D720:D723"/>
    <mergeCell ref="A646:A649"/>
    <mergeCell ref="D646:D649"/>
    <mergeCell ref="A658:A661"/>
    <mergeCell ref="D658:D661"/>
    <mergeCell ref="A669:A672"/>
    <mergeCell ref="D669:D672"/>
    <mergeCell ref="A606:A609"/>
    <mergeCell ref="D606:D609"/>
    <mergeCell ref="A619:A622"/>
    <mergeCell ref="D619:D622"/>
    <mergeCell ref="A631:A634"/>
    <mergeCell ref="D631:D634"/>
    <mergeCell ref="A562:A565"/>
    <mergeCell ref="D562:D565"/>
    <mergeCell ref="A576:A579"/>
    <mergeCell ref="D576:D579"/>
    <mergeCell ref="A590:A593"/>
    <mergeCell ref="D590:D593"/>
    <mergeCell ref="A514:A517"/>
    <mergeCell ref="D514:D517"/>
    <mergeCell ref="A532:A535"/>
    <mergeCell ref="D532:D535"/>
    <mergeCell ref="A550:A553"/>
    <mergeCell ref="D550:D553"/>
    <mergeCell ref="A432:A435"/>
    <mergeCell ref="D432:D435"/>
    <mergeCell ref="A457:A460"/>
    <mergeCell ref="D457:D460"/>
    <mergeCell ref="A490:A493"/>
    <mergeCell ref="D490:D493"/>
    <mergeCell ref="A385:A388"/>
    <mergeCell ref="D385:D388"/>
    <mergeCell ref="A397:A400"/>
    <mergeCell ref="D397:D400"/>
    <mergeCell ref="A419:A422"/>
    <mergeCell ref="D419:D422"/>
    <mergeCell ref="A296:A299"/>
    <mergeCell ref="D296:D299"/>
    <mergeCell ref="A315:A318"/>
    <mergeCell ref="D315:D318"/>
    <mergeCell ref="A373:A376"/>
    <mergeCell ref="D373:D376"/>
    <mergeCell ref="A258:A261"/>
    <mergeCell ref="D258:D261"/>
    <mergeCell ref="A272:A275"/>
    <mergeCell ref="D272:D275"/>
    <mergeCell ref="A284:A287"/>
    <mergeCell ref="D284:D287"/>
    <mergeCell ref="A224:A227"/>
    <mergeCell ref="D224:D227"/>
    <mergeCell ref="A235:A238"/>
    <mergeCell ref="D235:D238"/>
    <mergeCell ref="A246:A249"/>
    <mergeCell ref="D246:D249"/>
    <mergeCell ref="A191:A194"/>
    <mergeCell ref="D191:D194"/>
    <mergeCell ref="A202:A205"/>
    <mergeCell ref="D202:D205"/>
    <mergeCell ref="A213:A216"/>
    <mergeCell ref="D213:D216"/>
    <mergeCell ref="A154:A157"/>
    <mergeCell ref="D154:D157"/>
    <mergeCell ref="A165:A168"/>
    <mergeCell ref="D165:D168"/>
    <mergeCell ref="A180:A183"/>
    <mergeCell ref="D180:D183"/>
    <mergeCell ref="A132:A135"/>
    <mergeCell ref="D132:D135"/>
    <mergeCell ref="A143:A146"/>
    <mergeCell ref="D143:D146"/>
    <mergeCell ref="A73:A76"/>
    <mergeCell ref="D73:D76"/>
    <mergeCell ref="A84:A87"/>
    <mergeCell ref="D84:D87"/>
    <mergeCell ref="A110:A113"/>
    <mergeCell ref="D110:D113"/>
    <mergeCell ref="A62:A65"/>
    <mergeCell ref="D62:D65"/>
    <mergeCell ref="E9:F9"/>
    <mergeCell ref="E10:F10"/>
    <mergeCell ref="E11:F11"/>
    <mergeCell ref="E12:F12"/>
    <mergeCell ref="A17:A20"/>
    <mergeCell ref="D17:D20"/>
    <mergeCell ref="A121:A124"/>
    <mergeCell ref="D121:D124"/>
    <mergeCell ref="A1:A4"/>
    <mergeCell ref="B2:E2"/>
    <mergeCell ref="B3:E3"/>
    <mergeCell ref="E6:F6"/>
    <mergeCell ref="E7:F7"/>
    <mergeCell ref="E8:F8"/>
    <mergeCell ref="A37:A40"/>
    <mergeCell ref="D37:D40"/>
    <mergeCell ref="A51:A54"/>
    <mergeCell ref="D51:D54"/>
  </mergeCells>
  <dataValidations count="12">
    <dataValidation type="decimal" operator="greaterThan" allowBlank="1" showInputMessage="1" showErrorMessage="1" sqref="D726:E726 D701:E715 D686:E690 D675:E675 D664:E664 D652:E653 D637:E641 D625:E626 D612:E614 D596:E601 D582:E585 D568:E571 D556:E557 D538:E545 D520:E527 D496:E509 D463:E485 D438:E452 D425:E427 D403:E414 D391:E392 D379:E380 D321:E368 D302:E310 D290:E291 D278:E279 D264:E267 D252:E253 D241:E241 D230:E230 D219:E219 D208:E208 D197:E197 D186:E186 D171:E175 D160:E160 D149:E149 D138:E138 D127:E127 D116:E116 D90:E105 D79:E79 D68:E68 D57:E57 D43:E46 D23:E32">
      <formula1>0</formula1>
    </dataValidation>
    <dataValidation type="list" allowBlank="1" showInputMessage="1" showErrorMessage="1" sqref="C726 C701:C715 C686:C690 C675 C664 C652:C653 C637:C641 C625:C626 C612:C614 C596:C601 C582:C585 C568:C571 C556:C557 C538:C545 C520:C527 C496:C509 C463:C485 C438:C452 C425:C427 C403:C414 C391:C392 C379:C380 C321:C368 C302:C310 C290:C291 C278:C279 C264:C267 C252:C253 C241 C230 C219 C208 C197 C186 C171:C175 C160 C149 C138 C127 C116 C90:C105 C79 C68 C57 C43:C46 C23:C32">
      <formula1>UnidadesList</formula1>
    </dataValidation>
    <dataValidation type="whole" operator="greaterThan" allowBlank="1" showInputMessage="1" showErrorMessage="1" sqref="A726 A701:A715 A686:A690 A675 A664 A652:A653 A637:A641 A625:A626 A612:A614 A596:A601 A582:A585 A568:A571 A556:A557 A538:A545 A520:A527 A496:A509 A463:A485 A438:A452 A425:A427 A403:A414 A391:A392 A379:A380 A321:A368 A302:A310 A290:A291 A278:A279 A264:A267 A252:A253 A241 A230 A219 A208 A197 A186 A171:A175 A160 A149 A138 A127 A116 A90:A105 A79 A68 A57 A43:A46 A23:A32">
      <formula1>0</formula1>
    </dataValidation>
    <dataValidation type="list" allowBlank="1" showInputMessage="1" showErrorMessage="1" sqref="F723 F698 F683 F672 F661 F649 F634 F622 F609 F593 F579 F565 F553 F535 F517 F493 F460 F435 F422 F400 F388 F376 F318 F299 F287 F275 F261 F249 F238 F227 F216 F205 F194 F183 F168 F157 F146 F135 F124 F113 F87 F76 F65 F54 F40 F20">
      <formula1>OFFSET(MunicipioStart,MATCH(INDIRECT(ADDRESS(ROW()-1,COLUMN(),4)),MunicipioColumn,0)-1,1,COUNTIF(MunicipioColumn,INDIRECT(ADDRESS(ROW()-1,COLUMN(),4))),1)</formula1>
    </dataValidation>
    <dataValidation type="list" allowBlank="1" showInputMessage="1" showErrorMessage="1" sqref="F722 F697 F682 F671 F660 F648 F633 F621 F608 F592 F578 F564 F552 F534 F516 F492 F459 F434 F421 F399 F387 F375 F317 F298 F286 F274 F260 F248 F237 F226 F215 F204 F193 F182 F167 F156 F145 F134 F123 F112 F86 F75 F64 F53 F39 F1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721 F696 F681 F670 F659 F647 F632 F620 F607 F591 F577 F563 F551 F533 F515 F491 F458 F433 F420 F398 F386 F374 F316 F297 F285 F273 F259 F247 F236 F225 F214 F203 F192 F181 F166 F155 F144 F133 F122 F111 F85 F74 F63 F52 F38 F18">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720 F695 F680 F669 F658 F646 F631 F619 F606 F590 F576 F562 F550 F532 F514 F490 F457 F432 F419 F397 F385 F373 F315 F296 F284 F272 F258 F246 F235 F224 F213 F202 F191 F180 F165 F154 F143 F132 F121 F110 F84 F73 F62 F51 F37 F17">
      <formula1>IF(INDIRECT(ADDRESS(ROW()+1,COLUMN(),4))="",RegionList,INDEX(RegionColumn,MATCH(INDIRECT(ADDRESS(ROW()+1,COLUMN(),4)),ProvinciaList,0)))</formula1>
    </dataValidation>
    <dataValidation type="date" operator="greaterThanOrEqual" allowBlank="1" showInputMessage="1" showErrorMessage="1" sqref="C722 C697 C682 C671 C660 C648 C633 C621 C608 C592 C578 C564 C552 C534 C516 C492 C459 C434 C421 C399 C387 C375 C317 C298 C286 C274 C260 C248 C237 C226 C215 C204 C193 C182 C167 C156 C145 C134 C123 C112 C86 C75 C64 C53 C39 C19">
      <formula1>C17</formula1>
    </dataValidation>
    <dataValidation type="date" operator="lessThanOrEqual" allowBlank="1" showInputMessage="1" showErrorMessage="1" sqref="C720 C695 C680 C669 C658 C646 C631 C619 C606 C590 C576 C562 C550 C532 C514 C490 C457 C432 C419 C397 C385 C373 C315 C296 C284 C272 C258 C246 C235 C224 C213 C202 C191 C180 C165 C154 C143 C132 C121 C110 C84 C73 C62 C51 C37 C17">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drawing r:id="rId1"/>
  <legacyDrawing r:id="rId2"/>
  <tableParts count="4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'[1]Informacion '!#REF!</xm:f>
          </x14:formula1>
          <xm:sqref>E719 E694 E679 E668 E657 E645 E630 E618 E605 E589 E575 E561 E549 E531 E513 E489 E456 E431 E418 E396 E384 E372 E314 E295 E283 E271 E257 E245 E234 E223 E212 E201 E190 E179 E164 E153 E142 E131 E120 E109 E83 E72 E61 E50 E36 E16</xm:sqref>
        </x14:dataValidation>
        <x14:dataValidation type="list" allowBlank="1" showInputMessage="1" showErrorMessage="1">
          <x14:formula1>
            <xm:f>'[1]Informacion '!#REF!</xm:f>
          </x14:formula1>
          <xm:sqref>D719 D694 D679 D668 D657 D645 D630 D618 D605 D589 D575 D561 D549 D531 D513 D489 D456 D431 D418 D396 D384 D372 D314 D295 D283 D271 D257 D245 D234 D223 D212 D201 D190 D179 D164 D153 D142 D131 D120 D109 D83 D72 D61 D50 D36 D16</xm:sqref>
        </x14:dataValidation>
        <x14:dataValidation type="list" allowBlank="1" showInputMessage="1" showErrorMessage="1">
          <x14:formula1>
            <xm:f>'[1]Informacion '!#REF!</xm:f>
          </x14:formula1>
          <xm:sqref>C719 C694 C679 C668 C657 C645 C630 C618 C605 C589 C575 C561 C549 C531 C513 C489 C456 C431 C418 C396 C384 C372 C314 C295 C283 C271 C257 C245 C234 C223 C212 C201 C190 C179 C164 C153 C142 C131 C120 C109 C83 C72 C61 C50 C36 C16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Deledda Samboy Trinidad</dc:creator>
  <cp:lastModifiedBy>Nahomy Willmore</cp:lastModifiedBy>
  <dcterms:created xsi:type="dcterms:W3CDTF">2021-12-14T19:52:41Z</dcterms:created>
  <dcterms:modified xsi:type="dcterms:W3CDTF">2025-03-03T12:56:56Z</dcterms:modified>
</cp:coreProperties>
</file>